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ttps://uwspedu-my.sharepoint.com/personal/cwendorf_uwsp_edu/Documents/GitHub/BASE/EASE/"/>
    </mc:Choice>
  </mc:AlternateContent>
  <xr:revisionPtr revIDLastSave="34" documentId="114_{2B26CC36-6C37-49EA-BFAB-06036BD5F07A}" xr6:coauthVersionLast="47" xr6:coauthVersionMax="47" xr10:uidLastSave="{3E8E4A38-3417-4288-9029-4DEF63B78306}"/>
  <bookViews>
    <workbookView xWindow="-108" yWindow="-108" windowWidth="23256" windowHeight="12456" xr2:uid="{00000000-000D-0000-FFFF-FFFF00000000}"/>
  </bookViews>
  <sheets>
    <sheet name="Intro" sheetId="31" r:id="rId1"/>
    <sheet name="Data" sheetId="1" r:id="rId2"/>
    <sheet name="Means" sheetId="22" r:id="rId3"/>
    <sheet name="OneComp" sheetId="20" r:id="rId4"/>
    <sheet name="Pairwise" sheetId="8" r:id="rId5"/>
  </sheets>
  <externalReferences>
    <externalReference r:id="rId6"/>
    <externalReference r:id="rId7"/>
    <externalReference r:id="rId8"/>
  </externalReferences>
  <definedNames>
    <definedName name="_xlnm._FilterDatabase" localSheetId="1" hidden="1">Data!$K$4:$M$4</definedName>
    <definedName name="Graph">[1]Data!#REF!</definedName>
    <definedName name="Relational">[1]Data!#REF!</definedName>
    <definedName name="SPSS">[2]Data!#REF!</definedName>
    <definedName name="SPSS2">[3]Data!#REF!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1" i="20" l="1"/>
  <c r="B40" i="20"/>
  <c r="B25" i="1"/>
  <c r="K8" i="20"/>
  <c r="K7" i="20"/>
  <c r="L4" i="1"/>
  <c r="M4" i="1"/>
  <c r="V7" i="1" a="1"/>
  <c r="V7" i="1"/>
  <c r="E8" i="20"/>
  <c r="V8" i="1" a="1"/>
  <c r="V8" i="1"/>
  <c r="E7" i="20"/>
  <c r="U7" i="1"/>
  <c r="D8" i="20"/>
  <c r="U8" i="1"/>
  <c r="D7" i="20"/>
  <c r="T7" i="1"/>
  <c r="C8" i="20"/>
  <c r="T8" i="1"/>
  <c r="C7" i="20"/>
  <c r="G44" i="20"/>
  <c r="E11" i="20"/>
  <c r="E44" i="20"/>
  <c r="D11" i="20"/>
  <c r="G11" i="20"/>
  <c r="F11" i="20"/>
  <c r="N10" i="20"/>
  <c r="D44" i="20"/>
  <c r="F44" i="20"/>
  <c r="T19" i="20"/>
  <c r="U19" i="20"/>
  <c r="V19" i="20"/>
  <c r="W19" i="20"/>
  <c r="T24" i="20"/>
  <c r="U24" i="20"/>
  <c r="V24" i="20"/>
  <c r="W24" i="20"/>
  <c r="X24" i="20"/>
  <c r="Z24" i="20"/>
  <c r="D41" i="20"/>
  <c r="E41" i="20"/>
  <c r="F41" i="20"/>
  <c r="G41" i="20"/>
  <c r="T18" i="20"/>
  <c r="U18" i="20"/>
  <c r="V18" i="20"/>
  <c r="W18" i="20"/>
  <c r="T23" i="20"/>
  <c r="U23" i="20"/>
  <c r="V23" i="20"/>
  <c r="W23" i="20"/>
  <c r="X23" i="20"/>
  <c r="Z23" i="20"/>
  <c r="D40" i="20"/>
  <c r="E40" i="20"/>
  <c r="F40" i="20"/>
  <c r="G40" i="20"/>
  <c r="T17" i="20"/>
  <c r="U17" i="20"/>
  <c r="V17" i="20"/>
  <c r="W17" i="20"/>
  <c r="T22" i="20"/>
  <c r="U22" i="20"/>
  <c r="V22" i="20"/>
  <c r="X22" i="20"/>
  <c r="W22" i="20"/>
  <c r="Z22" i="20"/>
  <c r="Y24" i="20"/>
  <c r="Y23" i="20"/>
  <c r="Y22" i="20"/>
  <c r="X17" i="20"/>
  <c r="W27" i="20"/>
  <c r="V27" i="20"/>
  <c r="Y27" i="20"/>
  <c r="Y17" i="20"/>
  <c r="X27" i="20"/>
  <c r="Z27" i="20"/>
  <c r="Z17" i="20"/>
  <c r="X18" i="20"/>
  <c r="V28" i="20"/>
  <c r="W28" i="20"/>
  <c r="Y28" i="20"/>
  <c r="Y18" i="20"/>
  <c r="X28" i="20"/>
  <c r="Z28" i="20"/>
  <c r="Z18" i="20"/>
  <c r="X19" i="20"/>
  <c r="V29" i="20"/>
  <c r="W29" i="20"/>
  <c r="Y29" i="20"/>
  <c r="Y19" i="20"/>
  <c r="X29" i="20"/>
  <c r="Z29" i="20"/>
  <c r="Z19" i="20"/>
  <c r="Q11" i="20"/>
  <c r="P11" i="20"/>
  <c r="L11" i="20"/>
  <c r="O11" i="20"/>
  <c r="L8" i="20"/>
  <c r="O8" i="20"/>
  <c r="L7" i="20"/>
  <c r="O7" i="20"/>
  <c r="W7" i="1"/>
  <c r="G40" i="22"/>
  <c r="D7" i="22"/>
  <c r="E7" i="22"/>
  <c r="L7" i="22"/>
  <c r="O7" i="22"/>
  <c r="N6" i="20"/>
  <c r="N7" i="20"/>
  <c r="N8" i="20"/>
  <c r="N11" i="20"/>
  <c r="D7" i="8"/>
  <c r="B7" i="8"/>
  <c r="T7" i="8"/>
  <c r="V7" i="8"/>
  <c r="G40" i="8"/>
  <c r="E7" i="8"/>
  <c r="W7" i="8"/>
  <c r="X7" i="8"/>
  <c r="Y7" i="8"/>
  <c r="Z7" i="8"/>
  <c r="U9" i="1"/>
  <c r="D8" i="8"/>
  <c r="B8" i="8"/>
  <c r="T8" i="8"/>
  <c r="U8" i="8"/>
  <c r="V8" i="8"/>
  <c r="T9" i="1"/>
  <c r="G41" i="8"/>
  <c r="V9" i="1" a="1"/>
  <c r="V9" i="1"/>
  <c r="E8" i="8"/>
  <c r="W8" i="8"/>
  <c r="X8" i="8"/>
  <c r="Y8" i="8"/>
  <c r="Z8" i="8"/>
  <c r="D9" i="8"/>
  <c r="B9" i="8"/>
  <c r="T9" i="8"/>
  <c r="U9" i="8"/>
  <c r="V9" i="8"/>
  <c r="G42" i="8"/>
  <c r="E9" i="8"/>
  <c r="W9" i="8"/>
  <c r="X9" i="8"/>
  <c r="Y9" i="8"/>
  <c r="Z9" i="8"/>
  <c r="U10" i="1"/>
  <c r="D10" i="8"/>
  <c r="B10" i="8"/>
  <c r="T10" i="8"/>
  <c r="U10" i="8"/>
  <c r="V10" i="8"/>
  <c r="W10" i="8"/>
  <c r="X10" i="8"/>
  <c r="T10" i="1"/>
  <c r="Y10" i="8"/>
  <c r="Z10" i="8"/>
  <c r="D11" i="8"/>
  <c r="B11" i="8"/>
  <c r="T11" i="8"/>
  <c r="U11" i="8"/>
  <c r="V11" i="8"/>
  <c r="W11" i="8"/>
  <c r="X11" i="8"/>
  <c r="Y11" i="8"/>
  <c r="Z11" i="8"/>
  <c r="D12" i="8"/>
  <c r="B12" i="8"/>
  <c r="T12" i="8"/>
  <c r="U12" i="8"/>
  <c r="V12" i="8"/>
  <c r="W12" i="8"/>
  <c r="X12" i="8"/>
  <c r="Y12" i="8"/>
  <c r="Z12" i="8"/>
  <c r="C7" i="8"/>
  <c r="N7" i="8"/>
  <c r="C8" i="8"/>
  <c r="N8" i="8"/>
  <c r="C9" i="8"/>
  <c r="N9" i="8"/>
  <c r="G43" i="8"/>
  <c r="C10" i="8"/>
  <c r="N10" i="8"/>
  <c r="G44" i="8"/>
  <c r="C11" i="8"/>
  <c r="N11" i="8"/>
  <c r="G45" i="8"/>
  <c r="C12" i="8"/>
  <c r="N12" i="8"/>
  <c r="F12" i="8"/>
  <c r="F11" i="8"/>
  <c r="F10" i="8"/>
  <c r="F9" i="8"/>
  <c r="F8" i="8"/>
  <c r="F7" i="8"/>
  <c r="F8" i="20"/>
  <c r="F7" i="20"/>
  <c r="G7" i="20"/>
  <c r="R10" i="1"/>
  <c r="B10" i="22"/>
  <c r="K10" i="22"/>
  <c r="K43" i="22"/>
  <c r="R9" i="1"/>
  <c r="B9" i="22"/>
  <c r="K9" i="22"/>
  <c r="K42" i="22"/>
  <c r="R8" i="1"/>
  <c r="B8" i="22"/>
  <c r="K8" i="22"/>
  <c r="K41" i="22"/>
  <c r="R7" i="1"/>
  <c r="B7" i="22"/>
  <c r="K7" i="22"/>
  <c r="K40" i="22"/>
  <c r="K12" i="8"/>
  <c r="K45" i="8"/>
  <c r="K11" i="8"/>
  <c r="K44" i="8"/>
  <c r="K10" i="8"/>
  <c r="K43" i="8"/>
  <c r="K9" i="8"/>
  <c r="K42" i="8"/>
  <c r="K8" i="8"/>
  <c r="K41" i="8"/>
  <c r="K7" i="8"/>
  <c r="K40" i="8"/>
  <c r="K41" i="20"/>
  <c r="K40" i="20"/>
  <c r="W10" i="1"/>
  <c r="W9" i="1"/>
  <c r="W8" i="1"/>
  <c r="V10" i="1" a="1"/>
  <c r="V10" i="1"/>
  <c r="X10" i="1"/>
  <c r="X9" i="1"/>
  <c r="X8" i="1"/>
  <c r="X7" i="1"/>
  <c r="G43" i="22"/>
  <c r="G42" i="22"/>
  <c r="G41" i="22"/>
  <c r="N10" i="22"/>
  <c r="N9" i="22"/>
  <c r="N8" i="22"/>
  <c r="N7" i="22"/>
  <c r="F10" i="22"/>
  <c r="F9" i="22"/>
  <c r="F8" i="22"/>
  <c r="F7" i="22"/>
  <c r="T22" i="8"/>
  <c r="U22" i="8"/>
  <c r="W22" i="8"/>
  <c r="V22" i="8"/>
  <c r="X22" i="8"/>
  <c r="T21" i="8"/>
  <c r="U21" i="8"/>
  <c r="W21" i="8"/>
  <c r="V21" i="8"/>
  <c r="X21" i="8"/>
  <c r="T20" i="8"/>
  <c r="U20" i="8"/>
  <c r="W20" i="8"/>
  <c r="V20" i="8"/>
  <c r="X20" i="8"/>
  <c r="T19" i="8"/>
  <c r="U19" i="8"/>
  <c r="W19" i="8"/>
  <c r="V19" i="8"/>
  <c r="X19" i="8"/>
  <c r="T18" i="8"/>
  <c r="U18" i="8"/>
  <c r="W18" i="8"/>
  <c r="V18" i="8"/>
  <c r="X18" i="8"/>
  <c r="T17" i="8"/>
  <c r="U17" i="8"/>
  <c r="W17" i="8"/>
  <c r="V17" i="8"/>
  <c r="L7" i="8"/>
  <c r="M7" i="8"/>
  <c r="O7" i="8"/>
  <c r="D40" i="8"/>
  <c r="E40" i="8"/>
  <c r="F40" i="8"/>
  <c r="X17" i="8"/>
  <c r="V33" i="8"/>
  <c r="W33" i="8"/>
  <c r="Y33" i="8"/>
  <c r="Y17" i="8"/>
  <c r="P7" i="8"/>
  <c r="X33" i="8"/>
  <c r="Z33" i="8"/>
  <c r="Z17" i="8"/>
  <c r="Q7" i="8"/>
  <c r="L8" i="8"/>
  <c r="M8" i="8"/>
  <c r="O8" i="8"/>
  <c r="V34" i="8"/>
  <c r="W34" i="8"/>
  <c r="Y34" i="8"/>
  <c r="Y18" i="8"/>
  <c r="P8" i="8"/>
  <c r="X34" i="8"/>
  <c r="Z34" i="8"/>
  <c r="Z18" i="8"/>
  <c r="Q8" i="8"/>
  <c r="L9" i="8"/>
  <c r="M9" i="8"/>
  <c r="O9" i="8"/>
  <c r="T27" i="8"/>
  <c r="U27" i="8"/>
  <c r="V27" i="8"/>
  <c r="W27" i="8"/>
  <c r="D42" i="8"/>
  <c r="E42" i="8"/>
  <c r="F42" i="8"/>
  <c r="Y27" i="8"/>
  <c r="Y19" i="8"/>
  <c r="P9" i="8"/>
  <c r="X27" i="8"/>
  <c r="Z27" i="8"/>
  <c r="Z19" i="8"/>
  <c r="Q9" i="8"/>
  <c r="E10" i="8"/>
  <c r="L10" i="8"/>
  <c r="M10" i="8"/>
  <c r="O10" i="8"/>
  <c r="Y20" i="8"/>
  <c r="P10" i="8"/>
  <c r="Z20" i="8"/>
  <c r="Q10" i="8"/>
  <c r="E11" i="8"/>
  <c r="L11" i="8"/>
  <c r="M11" i="8"/>
  <c r="O11" i="8"/>
  <c r="Y21" i="8"/>
  <c r="P11" i="8"/>
  <c r="Z21" i="8"/>
  <c r="Q11" i="8"/>
  <c r="E12" i="8"/>
  <c r="L12" i="8"/>
  <c r="M12" i="8"/>
  <c r="O12" i="8"/>
  <c r="Y22" i="8"/>
  <c r="P12" i="8"/>
  <c r="Z22" i="8"/>
  <c r="Q12" i="8"/>
  <c r="D45" i="8"/>
  <c r="E45" i="8"/>
  <c r="F45" i="8"/>
  <c r="D44" i="8"/>
  <c r="E44" i="8"/>
  <c r="F44" i="8"/>
  <c r="D43" i="8"/>
  <c r="E43" i="8"/>
  <c r="F43" i="8"/>
  <c r="D41" i="8"/>
  <c r="E41" i="8"/>
  <c r="F41" i="8"/>
  <c r="Q7" i="20"/>
  <c r="L18" i="20"/>
  <c r="P7" i="20"/>
  <c r="L20" i="20"/>
  <c r="Q8" i="20"/>
  <c r="L21" i="20"/>
  <c r="P8" i="20"/>
  <c r="L23" i="20"/>
  <c r="M11" i="20"/>
  <c r="M8" i="20"/>
  <c r="L22" i="20"/>
  <c r="L25" i="20"/>
  <c r="L24" i="20"/>
  <c r="L26" i="20"/>
  <c r="M7" i="20"/>
  <c r="L19" i="20"/>
  <c r="O31" i="20"/>
  <c r="O32" i="20"/>
  <c r="P31" i="20"/>
  <c r="P32" i="20"/>
  <c r="Q31" i="20"/>
  <c r="Q32" i="20"/>
  <c r="Q16" i="20"/>
  <c r="P23" i="20"/>
  <c r="P24" i="20"/>
  <c r="P25" i="20"/>
  <c r="P26" i="20"/>
  <c r="P27" i="20"/>
  <c r="P28" i="20"/>
  <c r="Q28" i="20"/>
  <c r="Q27" i="20"/>
  <c r="Q26" i="20"/>
  <c r="Q25" i="20"/>
  <c r="Q24" i="20"/>
  <c r="Q23" i="20"/>
  <c r="P22" i="20"/>
  <c r="Q22" i="20"/>
  <c r="P21" i="20"/>
  <c r="Q21" i="20"/>
  <c r="P20" i="20"/>
  <c r="Q20" i="20"/>
  <c r="P19" i="20"/>
  <c r="Q19" i="20"/>
  <c r="P18" i="20"/>
  <c r="Q18" i="20"/>
  <c r="C19" i="20"/>
  <c r="G23" i="20"/>
  <c r="H7" i="20"/>
  <c r="C18" i="20"/>
  <c r="C20" i="20"/>
  <c r="H8" i="20"/>
  <c r="C21" i="20"/>
  <c r="C22" i="20"/>
  <c r="G8" i="20"/>
  <c r="C23" i="20"/>
  <c r="H11" i="20"/>
  <c r="C25" i="20"/>
  <c r="C24" i="20"/>
  <c r="C26" i="20"/>
  <c r="F32" i="20"/>
  <c r="H16" i="20"/>
  <c r="G24" i="20"/>
  <c r="G25" i="20"/>
  <c r="F31" i="20"/>
  <c r="O34" i="20"/>
  <c r="O35" i="20"/>
  <c r="P34" i="20"/>
  <c r="Q34" i="20"/>
  <c r="Q35" i="20"/>
  <c r="P35" i="20"/>
  <c r="N32" i="20"/>
  <c r="L32" i="20"/>
  <c r="N31" i="20"/>
  <c r="L31" i="20"/>
  <c r="M26" i="20"/>
  <c r="M25" i="20"/>
  <c r="M24" i="20"/>
  <c r="M23" i="20"/>
  <c r="M22" i="20"/>
  <c r="M21" i="20"/>
  <c r="M20" i="20"/>
  <c r="M19" i="20"/>
  <c r="M18" i="20"/>
  <c r="K11" i="20"/>
  <c r="C6" i="8"/>
  <c r="D10" i="22"/>
  <c r="D43" i="22"/>
  <c r="D9" i="22"/>
  <c r="D42" i="22"/>
  <c r="D8" i="22"/>
  <c r="D41" i="22"/>
  <c r="D40" i="22"/>
  <c r="U11" i="1"/>
  <c r="T11" i="1"/>
  <c r="W11" i="1"/>
  <c r="G31" i="20"/>
  <c r="G32" i="20"/>
  <c r="H31" i="20"/>
  <c r="H32" i="20"/>
  <c r="G22" i="20"/>
  <c r="G21" i="20"/>
  <c r="G20" i="20"/>
  <c r="G19" i="20"/>
  <c r="G18" i="20"/>
  <c r="G26" i="20"/>
  <c r="G27" i="20"/>
  <c r="G28" i="20"/>
  <c r="V11" i="1"/>
  <c r="S34" i="1"/>
  <c r="T34" i="1"/>
  <c r="U34" i="1"/>
  <c r="C7" i="22"/>
  <c r="M7" i="22"/>
  <c r="X11" i="1"/>
  <c r="H28" i="20"/>
  <c r="H27" i="20"/>
  <c r="H26" i="20"/>
  <c r="H25" i="20"/>
  <c r="H24" i="20"/>
  <c r="H23" i="20"/>
  <c r="H21" i="20"/>
  <c r="H20" i="20"/>
  <c r="H19" i="20"/>
  <c r="H18" i="20"/>
  <c r="H22" i="20"/>
  <c r="C19" i="22"/>
  <c r="L34" i="8"/>
  <c r="L31" i="8"/>
  <c r="L28" i="8"/>
  <c r="L25" i="8"/>
  <c r="L22" i="8"/>
  <c r="L19" i="8"/>
  <c r="H40" i="20"/>
  <c r="H41" i="20"/>
  <c r="H44" i="20"/>
  <c r="Q35" i="8"/>
  <c r="Q34" i="8"/>
  <c r="Q33" i="8"/>
  <c r="Q32" i="8"/>
  <c r="Q31" i="8"/>
  <c r="Q30" i="8"/>
  <c r="Q29" i="8"/>
  <c r="Q28" i="8"/>
  <c r="Q27" i="8"/>
  <c r="Q26" i="8"/>
  <c r="Q25" i="8"/>
  <c r="Q24" i="8"/>
  <c r="Q23" i="8"/>
  <c r="Q22" i="8"/>
  <c r="Q21" i="8"/>
  <c r="Q20" i="8"/>
  <c r="Q19" i="8"/>
  <c r="Q18" i="8"/>
  <c r="Q29" i="22"/>
  <c r="Q28" i="22"/>
  <c r="Q27" i="22"/>
  <c r="Q26" i="22"/>
  <c r="Q25" i="22"/>
  <c r="Q24" i="22"/>
  <c r="Q23" i="22"/>
  <c r="Q22" i="22"/>
  <c r="Q21" i="22"/>
  <c r="Q20" i="22"/>
  <c r="Q19" i="22"/>
  <c r="Q18" i="22"/>
  <c r="H29" i="22"/>
  <c r="H28" i="22"/>
  <c r="H27" i="22"/>
  <c r="H26" i="22"/>
  <c r="H25" i="22"/>
  <c r="H24" i="22"/>
  <c r="H23" i="22"/>
  <c r="H22" i="22"/>
  <c r="H21" i="22"/>
  <c r="H20" i="22"/>
  <c r="H19" i="22"/>
  <c r="H18" i="22"/>
  <c r="H35" i="8"/>
  <c r="H34" i="8"/>
  <c r="H33" i="8"/>
  <c r="H32" i="8"/>
  <c r="H31" i="8"/>
  <c r="H30" i="8"/>
  <c r="H29" i="8"/>
  <c r="H28" i="8"/>
  <c r="H27" i="8"/>
  <c r="H26" i="8"/>
  <c r="H25" i="8"/>
  <c r="H24" i="8"/>
  <c r="H23" i="8"/>
  <c r="H22" i="8"/>
  <c r="H21" i="8"/>
  <c r="H20" i="8"/>
  <c r="H19" i="8"/>
  <c r="H18" i="8"/>
  <c r="W38" i="8"/>
  <c r="V38" i="8"/>
  <c r="Y38" i="8"/>
  <c r="T30" i="8"/>
  <c r="U30" i="8"/>
  <c r="V30" i="8"/>
  <c r="W30" i="8"/>
  <c r="X30" i="8"/>
  <c r="Y30" i="8"/>
  <c r="L35" i="8"/>
  <c r="M35" i="8"/>
  <c r="M34" i="8"/>
  <c r="X38" i="8"/>
  <c r="Z38" i="8"/>
  <c r="Z30" i="8"/>
  <c r="L33" i="8"/>
  <c r="M33" i="8"/>
  <c r="W37" i="8"/>
  <c r="V37" i="8"/>
  <c r="Y37" i="8"/>
  <c r="T29" i="8"/>
  <c r="U29" i="8"/>
  <c r="V29" i="8"/>
  <c r="W29" i="8"/>
  <c r="Y29" i="8"/>
  <c r="L32" i="8"/>
  <c r="M32" i="8"/>
  <c r="M31" i="8"/>
  <c r="X37" i="8"/>
  <c r="Z37" i="8"/>
  <c r="X29" i="8"/>
  <c r="Z29" i="8"/>
  <c r="L30" i="8"/>
  <c r="M30" i="8"/>
  <c r="W36" i="8"/>
  <c r="V36" i="8"/>
  <c r="Y36" i="8"/>
  <c r="L29" i="8"/>
  <c r="M29" i="8"/>
  <c r="M28" i="8"/>
  <c r="X36" i="8"/>
  <c r="Z36" i="8"/>
  <c r="L27" i="8"/>
  <c r="M27" i="8"/>
  <c r="V35" i="8"/>
  <c r="W35" i="8"/>
  <c r="Y35" i="8"/>
  <c r="L26" i="8"/>
  <c r="M26" i="8"/>
  <c r="M25" i="8"/>
  <c r="X35" i="8"/>
  <c r="Z35" i="8"/>
  <c r="L24" i="8"/>
  <c r="M24" i="8"/>
  <c r="L23" i="8"/>
  <c r="M23" i="8"/>
  <c r="M22" i="8"/>
  <c r="L21" i="8"/>
  <c r="M21" i="8"/>
  <c r="L20" i="8"/>
  <c r="M20" i="8"/>
  <c r="M19" i="8"/>
  <c r="L18" i="8"/>
  <c r="M18" i="8"/>
  <c r="H7" i="8"/>
  <c r="C18" i="8"/>
  <c r="D18" i="8"/>
  <c r="C19" i="8"/>
  <c r="D19" i="8"/>
  <c r="G7" i="8"/>
  <c r="C20" i="8"/>
  <c r="D20" i="8"/>
  <c r="H8" i="8"/>
  <c r="C21" i="8"/>
  <c r="D21" i="8"/>
  <c r="C22" i="8"/>
  <c r="D22" i="8"/>
  <c r="G8" i="8"/>
  <c r="C23" i="8"/>
  <c r="D23" i="8"/>
  <c r="H9" i="8"/>
  <c r="C24" i="8"/>
  <c r="D24" i="8"/>
  <c r="C25" i="8"/>
  <c r="D25" i="8"/>
  <c r="G9" i="8"/>
  <c r="C26" i="8"/>
  <c r="D26" i="8"/>
  <c r="H10" i="8"/>
  <c r="C27" i="8"/>
  <c r="D27" i="8"/>
  <c r="C28" i="8"/>
  <c r="D28" i="8"/>
  <c r="G10" i="8"/>
  <c r="C29" i="8"/>
  <c r="D29" i="8"/>
  <c r="H11" i="8"/>
  <c r="C30" i="8"/>
  <c r="D30" i="8"/>
  <c r="C31" i="8"/>
  <c r="D31" i="8"/>
  <c r="G11" i="8"/>
  <c r="C32" i="8"/>
  <c r="D32" i="8"/>
  <c r="H12" i="8"/>
  <c r="C33" i="8"/>
  <c r="D33" i="8"/>
  <c r="C34" i="8"/>
  <c r="D34" i="8"/>
  <c r="G12" i="8"/>
  <c r="C35" i="8"/>
  <c r="D35" i="8"/>
  <c r="T17" i="22"/>
  <c r="E40" i="22"/>
  <c r="F40" i="22"/>
  <c r="U17" i="22"/>
  <c r="W17" i="22"/>
  <c r="V17" i="22"/>
  <c r="X17" i="22"/>
  <c r="V29" i="22"/>
  <c r="X29" i="22"/>
  <c r="Z29" i="22"/>
  <c r="T23" i="22"/>
  <c r="U23" i="22"/>
  <c r="V23" i="22"/>
  <c r="X23" i="22"/>
  <c r="W23" i="22"/>
  <c r="Z23" i="22"/>
  <c r="Z17" i="22"/>
  <c r="Q7" i="22"/>
  <c r="L18" i="22"/>
  <c r="M18" i="22"/>
  <c r="L19" i="22"/>
  <c r="M19" i="22"/>
  <c r="W29" i="22"/>
  <c r="Y29" i="22"/>
  <c r="Y23" i="22"/>
  <c r="Y17" i="22"/>
  <c r="P7" i="22"/>
  <c r="L20" i="22"/>
  <c r="M20" i="22"/>
  <c r="C8" i="22"/>
  <c r="T18" i="22"/>
  <c r="E41" i="22"/>
  <c r="F41" i="22"/>
  <c r="U18" i="22"/>
  <c r="W18" i="22"/>
  <c r="V18" i="22"/>
  <c r="X18" i="22"/>
  <c r="T24" i="22"/>
  <c r="U24" i="22"/>
  <c r="V24" i="22"/>
  <c r="X24" i="22"/>
  <c r="Z24" i="22"/>
  <c r="Z18" i="22"/>
  <c r="Q8" i="22"/>
  <c r="L21" i="22"/>
  <c r="M21" i="22"/>
  <c r="E8" i="22"/>
  <c r="L8" i="22"/>
  <c r="M8" i="22"/>
  <c r="L22" i="22"/>
  <c r="M22" i="22"/>
  <c r="W24" i="22"/>
  <c r="Y24" i="22"/>
  <c r="Y18" i="22"/>
  <c r="P8" i="22"/>
  <c r="L23" i="22"/>
  <c r="M23" i="22"/>
  <c r="C9" i="22"/>
  <c r="T19" i="22"/>
  <c r="E42" i="22"/>
  <c r="F42" i="22"/>
  <c r="U19" i="22"/>
  <c r="W19" i="22"/>
  <c r="V19" i="22"/>
  <c r="X19" i="22"/>
  <c r="T25" i="22"/>
  <c r="U25" i="22"/>
  <c r="V25" i="22"/>
  <c r="X25" i="22"/>
  <c r="Z25" i="22"/>
  <c r="Z19" i="22"/>
  <c r="Q9" i="22"/>
  <c r="L24" i="22"/>
  <c r="M24" i="22"/>
  <c r="E9" i="22"/>
  <c r="L9" i="22"/>
  <c r="M9" i="22"/>
  <c r="L25" i="22"/>
  <c r="M25" i="22"/>
  <c r="W25" i="22"/>
  <c r="Y25" i="22"/>
  <c r="Y19" i="22"/>
  <c r="P9" i="22"/>
  <c r="L26" i="22"/>
  <c r="M26" i="22"/>
  <c r="C10" i="22"/>
  <c r="T20" i="22"/>
  <c r="E43" i="22"/>
  <c r="F43" i="22"/>
  <c r="U20" i="22"/>
  <c r="W20" i="22"/>
  <c r="V20" i="22"/>
  <c r="X20" i="22"/>
  <c r="T26" i="22"/>
  <c r="U26" i="22"/>
  <c r="V26" i="22"/>
  <c r="X26" i="22"/>
  <c r="W26" i="22"/>
  <c r="Z26" i="22"/>
  <c r="V32" i="22"/>
  <c r="X32" i="22"/>
  <c r="Z32" i="22"/>
  <c r="Z20" i="22"/>
  <c r="Q10" i="22"/>
  <c r="L27" i="22"/>
  <c r="M27" i="22"/>
  <c r="E10" i="22"/>
  <c r="L10" i="22"/>
  <c r="M10" i="22"/>
  <c r="L28" i="22"/>
  <c r="M28" i="22"/>
  <c r="Y26" i="22"/>
  <c r="W32" i="22"/>
  <c r="Y32" i="22"/>
  <c r="Y20" i="22"/>
  <c r="P10" i="22"/>
  <c r="L29" i="22"/>
  <c r="M29" i="22"/>
  <c r="H10" i="22"/>
  <c r="C27" i="22"/>
  <c r="D27" i="22"/>
  <c r="C28" i="22"/>
  <c r="D28" i="22"/>
  <c r="G10" i="22"/>
  <c r="C29" i="22"/>
  <c r="D29" i="22"/>
  <c r="H9" i="22"/>
  <c r="C24" i="22"/>
  <c r="D24" i="22"/>
  <c r="C25" i="22"/>
  <c r="D25" i="22"/>
  <c r="G9" i="22"/>
  <c r="C26" i="22"/>
  <c r="D26" i="22"/>
  <c r="H8" i="22"/>
  <c r="C21" i="22"/>
  <c r="D21" i="22"/>
  <c r="C22" i="22"/>
  <c r="D22" i="22"/>
  <c r="G8" i="22"/>
  <c r="C23" i="22"/>
  <c r="D23" i="22"/>
  <c r="H7" i="22"/>
  <c r="C18" i="22"/>
  <c r="D18" i="22"/>
  <c r="D19" i="22"/>
  <c r="G7" i="22"/>
  <c r="C20" i="22"/>
  <c r="D20" i="22"/>
  <c r="C31" i="20"/>
  <c r="C32" i="20"/>
  <c r="X31" i="22"/>
  <c r="W31" i="22"/>
  <c r="X30" i="22"/>
  <c r="W30" i="22"/>
  <c r="B40" i="22"/>
  <c r="B42" i="22"/>
  <c r="B41" i="22"/>
  <c r="B44" i="8"/>
  <c r="B45" i="8"/>
  <c r="O8" i="22"/>
  <c r="O10" i="22"/>
  <c r="E31" i="20"/>
  <c r="D22" i="20"/>
  <c r="E32" i="20"/>
  <c r="H44" i="8"/>
  <c r="D23" i="20"/>
  <c r="B43" i="8"/>
  <c r="D21" i="20"/>
  <c r="T33" i="1" a="1"/>
  <c r="T33" i="1"/>
  <c r="S33" i="1" a="1"/>
  <c r="S33" i="1"/>
  <c r="U33" i="1"/>
  <c r="B42" i="8"/>
  <c r="B40" i="8"/>
  <c r="D24" i="20"/>
  <c r="O9" i="22"/>
  <c r="B43" i="22"/>
  <c r="B41" i="8"/>
  <c r="H45" i="8"/>
  <c r="D20" i="20"/>
  <c r="H42" i="22"/>
  <c r="H43" i="22"/>
  <c r="D19" i="20"/>
  <c r="H41" i="22"/>
  <c r="D25" i="20"/>
  <c r="D18" i="20"/>
  <c r="D26" i="20"/>
  <c r="H43" i="8"/>
  <c r="V30" i="22"/>
  <c r="H40" i="8"/>
  <c r="H40" i="22"/>
  <c r="H41" i="8"/>
  <c r="V31" i="22"/>
  <c r="Z31" i="22"/>
  <c r="Y30" i="22"/>
  <c r="Z30" i="22"/>
  <c r="Y31" i="22"/>
  <c r="H42" i="8"/>
  <c r="T25" i="8"/>
  <c r="U25" i="8"/>
  <c r="T28" i="8"/>
  <c r="U28" i="8"/>
  <c r="T26" i="8"/>
  <c r="U26" i="8"/>
  <c r="X26" i="8"/>
  <c r="W26" i="8"/>
  <c r="V26" i="8"/>
  <c r="X28" i="8"/>
  <c r="W28" i="8"/>
  <c r="V28" i="8"/>
  <c r="W25" i="8"/>
  <c r="X25" i="8"/>
  <c r="V25" i="8"/>
  <c r="Z26" i="8"/>
  <c r="Y26" i="8"/>
  <c r="Z25" i="8"/>
  <c r="Y25" i="8"/>
  <c r="Z28" i="8"/>
  <c r="Y28" i="8"/>
  <c r="T32" i="1"/>
  <c r="S32" i="1"/>
  <c r="U32" i="1"/>
  <c r="V32" i="1"/>
  <c r="W32" i="1"/>
  <c r="X32" i="1"/>
</calcChain>
</file>

<file path=xl/sharedStrings.xml><?xml version="1.0" encoding="utf-8"?>
<sst xmlns="http://schemas.openxmlformats.org/spreadsheetml/2006/main" count="326" uniqueCount="132">
  <si>
    <t>Group</t>
  </si>
  <si>
    <t>N</t>
  </si>
  <si>
    <t>df</t>
  </si>
  <si>
    <t>d</t>
  </si>
  <si>
    <t>Groups</t>
  </si>
  <si>
    <t>Contact Information</t>
  </si>
  <si>
    <t>Department of Psychology</t>
  </si>
  <si>
    <t>University of Wisconsin - Stevens Point</t>
  </si>
  <si>
    <t>An overview of the module</t>
  </si>
  <si>
    <t>This module is appropriate for one-way (single factor) between-subjects data.</t>
  </si>
  <si>
    <t>Provides analyses of all pairwise comparisons</t>
  </si>
  <si>
    <t>t</t>
  </si>
  <si>
    <t>k</t>
  </si>
  <si>
    <t>M</t>
  </si>
  <si>
    <t>V</t>
  </si>
  <si>
    <t>W</t>
  </si>
  <si>
    <t>c</t>
  </si>
  <si>
    <t>q</t>
  </si>
  <si>
    <t>a</t>
  </si>
  <si>
    <t>LLp</t>
  </si>
  <si>
    <t>Ulp</t>
  </si>
  <si>
    <t>LL</t>
  </si>
  <si>
    <t>UL</t>
  </si>
  <si>
    <t>Approximation of the Noncentrality Parameter Confidence Interval</t>
  </si>
  <si>
    <t>Confidence intervals are based on the central t distribution.</t>
  </si>
  <si>
    <t>d(unb)</t>
  </si>
  <si>
    <t>Raw Data</t>
  </si>
  <si>
    <t>Description</t>
  </si>
  <si>
    <t>Value</t>
  </si>
  <si>
    <t>Variable</t>
  </si>
  <si>
    <t>Project Name</t>
  </si>
  <si>
    <t>Project Description</t>
  </si>
  <si>
    <t>ID</t>
  </si>
  <si>
    <t>Project Summary</t>
  </si>
  <si>
    <t>No adjustments for multiple intervals have been made.</t>
  </si>
  <si>
    <t>Confidence intervals are calculated independent of each other (they are not simultaneous).</t>
  </si>
  <si>
    <t>Axis</t>
  </si>
  <si>
    <t>Hypoth</t>
  </si>
  <si>
    <t>Input Method: Raw Data</t>
  </si>
  <si>
    <t>Design: Single Factor, Between-Subjects</t>
  </si>
  <si>
    <t>CI %:</t>
  </si>
  <si>
    <t>Reference</t>
  </si>
  <si>
    <t>Definitions of Variables and Levels</t>
  </si>
  <si>
    <t>Analyses of the Means</t>
  </si>
  <si>
    <t>Where you summarize and enter your data</t>
  </si>
  <si>
    <t>Provides separate analyses of each mean</t>
  </si>
  <si>
    <t>Analyses of the Pairwise Comparisons</t>
  </si>
  <si>
    <t>Analyses of the Standardized Pairwise Comparisons</t>
  </si>
  <si>
    <t>Following Cumming (2012), confidence intervals are centered on d and not d(unb).</t>
  </si>
  <si>
    <t>Total</t>
  </si>
  <si>
    <t>F</t>
  </si>
  <si>
    <t>Overall</t>
  </si>
  <si>
    <t>p</t>
  </si>
  <si>
    <t>Contrast</t>
  </si>
  <si>
    <t>Analysis of Variance</t>
  </si>
  <si>
    <t>Source</t>
  </si>
  <si>
    <t>SS</t>
  </si>
  <si>
    <t>MS</t>
  </si>
  <si>
    <t>Eta-Sq.</t>
  </si>
  <si>
    <t>Between</t>
  </si>
  <si>
    <t>Within</t>
  </si>
  <si>
    <t>Descriptive Statistics</t>
  </si>
  <si>
    <t>Name</t>
  </si>
  <si>
    <t>Subsequent statistics are calculated using these descriptive statistics.</t>
  </si>
  <si>
    <t>Background Calculations</t>
  </si>
  <si>
    <t>CI for d</t>
  </si>
  <si>
    <t>Craig A. Wendorf</t>
  </si>
  <si>
    <t>Skew</t>
  </si>
  <si>
    <t>SD</t>
  </si>
  <si>
    <t>LLz</t>
  </si>
  <si>
    <t>Ulz</t>
  </si>
  <si>
    <t>Difference</t>
  </si>
  <si>
    <t>Correlations</t>
  </si>
  <si>
    <t>Measure</t>
  </si>
  <si>
    <t>Subsequent statistics are calculated using these correlations.</t>
  </si>
  <si>
    <t>Label</t>
  </si>
  <si>
    <t>Analyses of the Standardized Effect Sizes</t>
  </si>
  <si>
    <t>Analyses of One Pairwise Comparison</t>
  </si>
  <si>
    <t>Point</t>
  </si>
  <si>
    <t>Difference Axis</t>
  </si>
  <si>
    <t>Confidence Plots</t>
  </si>
  <si>
    <t>Reference Lines</t>
  </si>
  <si>
    <t>Reference Line</t>
  </si>
  <si>
    <t>Range</t>
  </si>
  <si>
    <t>SE</t>
  </si>
  <si>
    <t>CI for Diff.</t>
  </si>
  <si>
    <t>Diff.</t>
  </si>
  <si>
    <t>CI for M</t>
  </si>
  <si>
    <t>Technical Notes</t>
  </si>
  <si>
    <t>Overview of EASE</t>
  </si>
  <si>
    <t>For Means and Mean Differences</t>
  </si>
  <si>
    <t>Purpose of this Design Module</t>
  </si>
  <si>
    <t>For Standardized Effect Sizes</t>
  </si>
  <si>
    <t>Confidence intervals are based on the noncentral t distribution.</t>
  </si>
  <si>
    <t>Summary of the Tabs</t>
  </si>
  <si>
    <t>Intro:</t>
  </si>
  <si>
    <t>Data:</t>
  </si>
  <si>
    <t>For all tabs, only information in yellow cells should be altered.</t>
  </si>
  <si>
    <t>Graphs can be copied and pasted into other documents.</t>
  </si>
  <si>
    <t>Separate versions of the file can be saved for different data sets.</t>
  </si>
  <si>
    <t>Means:</t>
  </si>
  <si>
    <t>Pairwise:</t>
  </si>
  <si>
    <t>EASE is designed to provide real-time calculation of basic statistics.</t>
  </si>
  <si>
    <t>This module provides analyses of single means and their effect sizes.</t>
  </si>
  <si>
    <t>This module provides analyses of pairwise comparisons and their effect sizes.</t>
  </si>
  <si>
    <t>EASE calculates statistics not readily available in other statistics packages.</t>
  </si>
  <si>
    <t>All interval calculations use Lecoutre's (2007) quasi-exact approximation.</t>
  </si>
  <si>
    <t>This module uses raw data as input.</t>
  </si>
  <si>
    <t>d(unb) is an unbiased estimate of the standardized effect size.</t>
  </si>
  <si>
    <t>Axis Scale:</t>
  </si>
  <si>
    <t>Provides analysis of one specified pairwise comparison</t>
  </si>
  <si>
    <t>EASE emphasizes effect sizes and confidence intervals.</t>
  </si>
  <si>
    <t>Analyses of One Standardized Pairwise Comparison</t>
  </si>
  <si>
    <t>Null</t>
  </si>
  <si>
    <t>Hypothesis Tests (from a Null)</t>
  </si>
  <si>
    <t>Subset</t>
  </si>
  <si>
    <t>Confidence Intervals</t>
  </si>
  <si>
    <t>Hypothesis Tests</t>
  </si>
  <si>
    <t>Graphical Display</t>
  </si>
  <si>
    <t>Comparison Lines</t>
  </si>
  <si>
    <t>Auto</t>
  </si>
  <si>
    <t>EASE also includes null hypothesis significance tests.</t>
  </si>
  <si>
    <t>Using this Module</t>
  </si>
  <si>
    <t>OneComp:</t>
  </si>
  <si>
    <t>EASE: Estimation Approach to Statistics with Excel</t>
  </si>
  <si>
    <t>How to Cite</t>
  </si>
  <si>
    <t>cwendorf@uwsp.edu</t>
  </si>
  <si>
    <t>http://cwendorf.github.io</t>
  </si>
  <si>
    <t>EASE: Estimation Approach to Statistics with Excel [Excel Spreadsheets].</t>
  </si>
  <si>
    <t>https://github.com/cwendorf/BASE/tree/main/EASE</t>
  </si>
  <si>
    <t>Version: 2.241027</t>
  </si>
  <si>
    <t>Wendorf, C. A. (2021).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</si>
</sst>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00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CC"/>
      </patternFill>
    </fill>
  </fills>
  <borders count="13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1" fillId="4" borderId="10" applyNumberFormat="0" applyFont="0" applyAlignment="0" applyProtection="0"/>
    <xf numFmtId="0" fontId="14" fillId="0" borderId="0" applyNumberFormat="0" applyFill="0" applyBorder="0" applyAlignment="0" applyProtection="0"/>
  </cellStyleXfs>
  <cellXfs count="133">
    <xf numFmtId="0" fontId="0" fillId="0" borderId="0" xfId="0"/>
    <xf numFmtId="0" fontId="2" fillId="0" borderId="0" xfId="0" applyFont="1" applyAlignment="1">
      <alignment horizontal="center"/>
    </xf>
    <xf numFmtId="0" fontId="0" fillId="0" borderId="2" xfId="0" applyBorder="1" applyProtection="1">
      <protection hidden="1"/>
    </xf>
    <xf numFmtId="0" fontId="0" fillId="0" borderId="0" xfId="0" applyProtection="1">
      <protection hidden="1"/>
    </xf>
    <xf numFmtId="0" fontId="4" fillId="0" borderId="0" xfId="0" applyFont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5" fillId="0" borderId="0" xfId="0" applyFont="1" applyProtection="1">
      <protection hidden="1"/>
    </xf>
    <xf numFmtId="0" fontId="0" fillId="0" borderId="1" xfId="0" applyBorder="1"/>
    <xf numFmtId="0" fontId="0" fillId="0" borderId="2" xfId="0" applyBorder="1"/>
    <xf numFmtId="0" fontId="6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164" fontId="0" fillId="3" borderId="3" xfId="0" applyNumberFormat="1" applyFill="1" applyBorder="1" applyAlignment="1" applyProtection="1">
      <alignment horizontal="center"/>
      <protection locked="0"/>
    </xf>
    <xf numFmtId="164" fontId="0" fillId="3" borderId="4" xfId="0" applyNumberFormat="1" applyFill="1" applyBorder="1" applyAlignment="1" applyProtection="1">
      <alignment horizontal="center"/>
      <protection locked="0"/>
    </xf>
    <xf numFmtId="164" fontId="0" fillId="3" borderId="5" xfId="0" applyNumberFormat="1" applyFill="1" applyBorder="1" applyAlignment="1" applyProtection="1">
      <alignment horizontal="center"/>
      <protection locked="0"/>
    </xf>
    <xf numFmtId="0" fontId="0" fillId="3" borderId="9" xfId="0" applyFill="1" applyBorder="1" applyAlignment="1" applyProtection="1">
      <alignment horizontal="center"/>
      <protection locked="0"/>
    </xf>
    <xf numFmtId="0" fontId="0" fillId="3" borderId="8" xfId="0" applyFill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hidden="1"/>
    </xf>
    <xf numFmtId="164" fontId="0" fillId="0" borderId="3" xfId="0" applyNumberFormat="1" applyBorder="1" applyAlignment="1" applyProtection="1">
      <alignment horizontal="center"/>
      <protection hidden="1"/>
    </xf>
    <xf numFmtId="0" fontId="0" fillId="0" borderId="4" xfId="0" applyBorder="1" applyAlignment="1" applyProtection="1">
      <alignment horizontal="center"/>
      <protection hidden="1"/>
    </xf>
    <xf numFmtId="164" fontId="0" fillId="0" borderId="4" xfId="0" applyNumberFormat="1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164" fontId="0" fillId="0" borderId="5" xfId="0" applyNumberFormat="1" applyBorder="1" applyAlignment="1" applyProtection="1">
      <alignment horizontal="center"/>
      <protection hidden="1"/>
    </xf>
    <xf numFmtId="0" fontId="8" fillId="0" borderId="0" xfId="0" applyFont="1" applyProtection="1">
      <protection hidden="1"/>
    </xf>
    <xf numFmtId="0" fontId="8" fillId="0" borderId="0" xfId="0" applyFont="1" applyAlignment="1" applyProtection="1">
      <alignment horizontal="center"/>
      <protection hidden="1"/>
    </xf>
    <xf numFmtId="164" fontId="0" fillId="0" borderId="3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4" xfId="0" applyNumberFormat="1" applyBorder="1" applyAlignment="1">
      <alignment horizontal="center"/>
    </xf>
    <xf numFmtId="164" fontId="0" fillId="0" borderId="5" xfId="0" applyNumberFormat="1" applyBorder="1" applyAlignment="1">
      <alignment horizontal="center"/>
    </xf>
    <xf numFmtId="0" fontId="0" fillId="3" borderId="8" xfId="0" applyFill="1" applyBorder="1" applyAlignment="1" applyProtection="1">
      <alignment horizontal="center"/>
      <protection locked="0" hidden="1"/>
    </xf>
    <xf numFmtId="0" fontId="8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vertical="top" wrapText="1"/>
    </xf>
    <xf numFmtId="0" fontId="9" fillId="0" borderId="0" xfId="0" applyFont="1" applyAlignment="1" applyProtection="1">
      <alignment horizontal="center"/>
      <protection hidden="1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164" fontId="9" fillId="0" borderId="0" xfId="0" applyNumberFormat="1" applyFont="1" applyAlignment="1" applyProtection="1">
      <alignment horizontal="center"/>
      <protection hidden="1"/>
    </xf>
    <xf numFmtId="0" fontId="9" fillId="0" borderId="0" xfId="0" applyFont="1"/>
    <xf numFmtId="0" fontId="0" fillId="3" borderId="4" xfId="0" applyFill="1" applyBorder="1" applyAlignment="1" applyProtection="1">
      <alignment horizontal="center"/>
      <protection locked="0"/>
    </xf>
    <xf numFmtId="1" fontId="0" fillId="0" borderId="3" xfId="0" applyNumberFormat="1" applyBorder="1" applyAlignment="1" applyProtection="1">
      <alignment horizontal="center"/>
      <protection hidden="1"/>
    </xf>
    <xf numFmtId="1" fontId="0" fillId="0" borderId="4" xfId="0" applyNumberFormat="1" applyBorder="1" applyAlignment="1" applyProtection="1">
      <alignment horizontal="center"/>
      <protection hidden="1"/>
    </xf>
    <xf numFmtId="1" fontId="0" fillId="0" borderId="5" xfId="0" applyNumberFormat="1" applyBorder="1" applyAlignment="1" applyProtection="1">
      <alignment horizontal="center"/>
      <protection hidden="1"/>
    </xf>
    <xf numFmtId="0" fontId="8" fillId="0" borderId="0" xfId="5" applyFont="1" applyAlignment="1" applyProtection="1">
      <alignment horizontal="center"/>
      <protection hidden="1"/>
    </xf>
    <xf numFmtId="0" fontId="5" fillId="0" borderId="0" xfId="0" applyFont="1"/>
    <xf numFmtId="0" fontId="10" fillId="0" borderId="0" xfId="5" applyFont="1" applyAlignment="1" applyProtection="1">
      <alignment horizontal="left"/>
      <protection hidden="1"/>
    </xf>
    <xf numFmtId="0" fontId="6" fillId="0" borderId="1" xfId="0" applyFont="1" applyBorder="1" applyAlignment="1" applyProtection="1">
      <alignment horizontal="center"/>
      <protection hidden="1"/>
    </xf>
    <xf numFmtId="164" fontId="0" fillId="0" borderId="7" xfId="0" applyNumberFormat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0" fillId="0" borderId="3" xfId="0" applyBorder="1" applyAlignment="1">
      <alignment horizontal="left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left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5" xfId="0" applyBorder="1" applyAlignment="1">
      <alignment horizontal="center"/>
    </xf>
    <xf numFmtId="1" fontId="0" fillId="0" borderId="3" xfId="0" applyNumberFormat="1" applyBorder="1" applyAlignment="1">
      <alignment horizontal="center"/>
    </xf>
    <xf numFmtId="164" fontId="6" fillId="0" borderId="1" xfId="0" applyNumberFormat="1" applyFont="1" applyBorder="1" applyAlignment="1">
      <alignment horizontal="center"/>
    </xf>
    <xf numFmtId="0" fontId="12" fillId="0" borderId="1" xfId="0" applyFont="1" applyBorder="1" applyAlignment="1" applyProtection="1">
      <alignment horizontal="center"/>
      <protection hidden="1"/>
    </xf>
    <xf numFmtId="164" fontId="8" fillId="0" borderId="3" xfId="0" applyNumberFormat="1" applyFont="1" applyBorder="1" applyAlignment="1" applyProtection="1">
      <alignment horizontal="center"/>
      <protection hidden="1"/>
    </xf>
    <xf numFmtId="1" fontId="8" fillId="0" borderId="3" xfId="0" applyNumberFormat="1" applyFont="1" applyBorder="1" applyAlignment="1" applyProtection="1">
      <alignment horizontal="center"/>
      <protection hidden="1"/>
    </xf>
    <xf numFmtId="164" fontId="8" fillId="0" borderId="4" xfId="0" applyNumberFormat="1" applyFont="1" applyBorder="1" applyAlignment="1" applyProtection="1">
      <alignment horizontal="center"/>
      <protection hidden="1"/>
    </xf>
    <xf numFmtId="1" fontId="8" fillId="0" borderId="4" xfId="5" applyNumberFormat="1" applyFont="1" applyBorder="1" applyAlignment="1" applyProtection="1">
      <alignment horizontal="center"/>
      <protection hidden="1"/>
    </xf>
    <xf numFmtId="164" fontId="8" fillId="0" borderId="4" xfId="5" applyNumberFormat="1" applyFont="1" applyBorder="1" applyAlignment="1" applyProtection="1">
      <alignment horizontal="center"/>
      <protection hidden="1"/>
    </xf>
    <xf numFmtId="165" fontId="8" fillId="0" borderId="4" xfId="0" applyNumberFormat="1" applyFont="1" applyBorder="1" applyAlignment="1" applyProtection="1">
      <alignment horizontal="center"/>
      <protection hidden="1"/>
    </xf>
    <xf numFmtId="164" fontId="8" fillId="0" borderId="5" xfId="0" applyNumberFormat="1" applyFont="1" applyBorder="1" applyAlignment="1" applyProtection="1">
      <alignment horizontal="center"/>
      <protection hidden="1"/>
    </xf>
    <xf numFmtId="1" fontId="8" fillId="0" borderId="5" xfId="0" applyNumberFormat="1" applyFont="1" applyBorder="1" applyAlignment="1" applyProtection="1">
      <alignment horizontal="center"/>
      <protection hidden="1"/>
    </xf>
    <xf numFmtId="0" fontId="8" fillId="0" borderId="0" xfId="0" applyFont="1"/>
    <xf numFmtId="0" fontId="6" fillId="2" borderId="1" xfId="0" applyFont="1" applyFill="1" applyBorder="1" applyAlignment="1">
      <alignment horizontal="left"/>
    </xf>
    <xf numFmtId="0" fontId="6" fillId="2" borderId="1" xfId="0" applyFont="1" applyFill="1" applyBorder="1"/>
    <xf numFmtId="0" fontId="0" fillId="0" borderId="7" xfId="0" applyBorder="1"/>
    <xf numFmtId="0" fontId="0" fillId="0" borderId="6" xfId="0" applyBorder="1"/>
    <xf numFmtId="164" fontId="0" fillId="0" borderId="6" xfId="0" applyNumberFormat="1" applyBorder="1" applyAlignment="1">
      <alignment horizontal="center"/>
    </xf>
    <xf numFmtId="0" fontId="0" fillId="3" borderId="3" xfId="0" applyFill="1" applyBorder="1" applyAlignment="1" applyProtection="1">
      <alignment horizontal="center"/>
      <protection locked="0"/>
    </xf>
    <xf numFmtId="0" fontId="0" fillId="3" borderId="5" xfId="0" applyFill="1" applyBorder="1" applyAlignment="1" applyProtection="1">
      <alignment horizontal="center"/>
      <protection locked="0"/>
    </xf>
    <xf numFmtId="164" fontId="8" fillId="0" borderId="0" xfId="0" applyNumberFormat="1" applyFont="1" applyAlignment="1">
      <alignment horizontal="center"/>
    </xf>
    <xf numFmtId="164" fontId="0" fillId="0" borderId="3" xfId="0" applyNumberFormat="1" applyBorder="1" applyAlignment="1" applyProtection="1">
      <alignment horizontal="center"/>
      <protection locked="0"/>
    </xf>
    <xf numFmtId="164" fontId="0" fillId="0" borderId="4" xfId="0" applyNumberFormat="1" applyBorder="1" applyAlignment="1" applyProtection="1">
      <alignment horizontal="center"/>
      <protection locked="0"/>
    </xf>
    <xf numFmtId="0" fontId="0" fillId="0" borderId="7" xfId="0" applyBorder="1" applyAlignment="1">
      <alignment horizontal="center"/>
    </xf>
    <xf numFmtId="1" fontId="0" fillId="0" borderId="7" xfId="0" applyNumberFormat="1" applyBorder="1" applyAlignment="1">
      <alignment horizontal="center"/>
    </xf>
    <xf numFmtId="1" fontId="0" fillId="0" borderId="4" xfId="0" applyNumberFormat="1" applyBorder="1" applyAlignment="1">
      <alignment horizontal="center"/>
    </xf>
    <xf numFmtId="164" fontId="0" fillId="0" borderId="7" xfId="0" applyNumberFormat="1" applyBorder="1" applyAlignment="1" applyProtection="1">
      <alignment horizontal="center"/>
      <protection hidden="1"/>
    </xf>
    <xf numFmtId="164" fontId="0" fillId="3" borderId="7" xfId="0" applyNumberFormat="1" applyFill="1" applyBorder="1" applyAlignment="1" applyProtection="1">
      <alignment horizontal="center"/>
      <protection locked="0"/>
    </xf>
    <xf numFmtId="1" fontId="0" fillId="0" borderId="7" xfId="0" applyNumberFormat="1" applyBorder="1" applyAlignment="1" applyProtection="1">
      <alignment horizontal="center"/>
      <protection hidden="1"/>
    </xf>
    <xf numFmtId="0" fontId="13" fillId="0" borderId="0" xfId="0" applyFont="1" applyProtection="1">
      <protection hidden="1"/>
    </xf>
    <xf numFmtId="164" fontId="0" fillId="0" borderId="2" xfId="0" applyNumberFormat="1" applyBorder="1" applyAlignment="1">
      <alignment horizontal="center"/>
    </xf>
    <xf numFmtId="164" fontId="0" fillId="0" borderId="0" xfId="0" applyNumberFormat="1"/>
    <xf numFmtId="0" fontId="9" fillId="0" borderId="0" xfId="0" applyFont="1" applyAlignment="1">
      <alignment horizontal="left"/>
    </xf>
    <xf numFmtId="0" fontId="9" fillId="0" borderId="0" xfId="0" applyFont="1" applyProtection="1">
      <protection hidden="1"/>
    </xf>
    <xf numFmtId="0" fontId="2" fillId="0" borderId="0" xfId="0" applyFont="1" applyAlignment="1">
      <alignment vertical="center"/>
    </xf>
    <xf numFmtId="0" fontId="2" fillId="0" borderId="0" xfId="0" applyFont="1" applyProtection="1">
      <protection hidden="1"/>
    </xf>
    <xf numFmtId="164" fontId="0" fillId="0" borderId="0" xfId="0" applyNumberFormat="1" applyAlignment="1">
      <alignment horizontal="left"/>
    </xf>
    <xf numFmtId="0" fontId="15" fillId="0" borderId="0" xfId="0" applyFont="1" applyProtection="1">
      <protection hidden="1"/>
    </xf>
    <xf numFmtId="0" fontId="8" fillId="0" borderId="0" xfId="0" applyFont="1" applyAlignment="1">
      <alignment horizontal="left"/>
    </xf>
    <xf numFmtId="0" fontId="0" fillId="0" borderId="7" xfId="0" applyBorder="1" applyAlignment="1" applyProtection="1">
      <alignment horizontal="center"/>
      <protection hidden="1"/>
    </xf>
    <xf numFmtId="0" fontId="8" fillId="0" borderId="3" xfId="0" applyFont="1" applyBorder="1" applyAlignment="1" applyProtection="1">
      <alignment horizontal="center"/>
      <protection hidden="1"/>
    </xf>
    <xf numFmtId="0" fontId="8" fillId="0" borderId="4" xfId="0" applyFont="1" applyBorder="1" applyAlignment="1" applyProtection="1">
      <alignment horizontal="center"/>
      <protection hidden="1"/>
    </xf>
    <xf numFmtId="0" fontId="8" fillId="0" borderId="5" xfId="0" applyFont="1" applyBorder="1" applyAlignment="1" applyProtection="1">
      <alignment horizontal="center"/>
      <protection hidden="1"/>
    </xf>
    <xf numFmtId="0" fontId="0" fillId="0" borderId="11" xfId="0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1" fontId="0" fillId="0" borderId="11" xfId="0" applyNumberFormat="1" applyBorder="1" applyAlignment="1">
      <alignment horizontal="center"/>
    </xf>
    <xf numFmtId="164" fontId="0" fillId="4" borderId="3" xfId="6" applyNumberFormat="1" applyFont="1" applyBorder="1" applyAlignment="1" applyProtection="1">
      <alignment horizontal="center"/>
      <protection locked="0"/>
    </xf>
    <xf numFmtId="164" fontId="0" fillId="4" borderId="12" xfId="6" applyNumberFormat="1" applyFont="1" applyBorder="1" applyAlignment="1" applyProtection="1">
      <alignment horizontal="center"/>
      <protection locked="0"/>
    </xf>
    <xf numFmtId="164" fontId="8" fillId="0" borderId="0" xfId="0" applyNumberFormat="1" applyFont="1" applyAlignment="1">
      <alignment horizontal="left"/>
    </xf>
    <xf numFmtId="164" fontId="8" fillId="0" borderId="0" xfId="0" applyNumberFormat="1" applyFont="1"/>
    <xf numFmtId="164" fontId="0" fillId="3" borderId="8" xfId="0" applyNumberFormat="1" applyFill="1" applyBorder="1" applyAlignment="1" applyProtection="1">
      <alignment horizontal="center"/>
      <protection locked="0"/>
    </xf>
    <xf numFmtId="0" fontId="0" fillId="3" borderId="7" xfId="0" applyFill="1" applyBorder="1" applyAlignment="1" applyProtection="1">
      <alignment horizontal="center"/>
      <protection locked="0"/>
    </xf>
    <xf numFmtId="164" fontId="0" fillId="3" borderId="11" xfId="6" applyNumberFormat="1" applyFont="1" applyFill="1" applyBorder="1" applyAlignment="1" applyProtection="1">
      <alignment horizontal="center"/>
      <protection locked="0"/>
    </xf>
    <xf numFmtId="0" fontId="0" fillId="0" borderId="11" xfId="0" applyBorder="1" applyAlignment="1" applyProtection="1">
      <alignment horizontal="center"/>
      <protection hidden="1"/>
    </xf>
    <xf numFmtId="164" fontId="0" fillId="0" borderId="11" xfId="0" applyNumberFormat="1" applyBorder="1" applyAlignment="1" applyProtection="1">
      <alignment horizontal="center"/>
      <protection hidden="1"/>
    </xf>
    <xf numFmtId="164" fontId="0" fillId="0" borderId="5" xfId="0" applyNumberFormat="1" applyBorder="1" applyAlignment="1" applyProtection="1">
      <alignment horizontal="center"/>
      <protection locked="0"/>
    </xf>
    <xf numFmtId="1" fontId="0" fillId="0" borderId="11" xfId="0" applyNumberFormat="1" applyBorder="1" applyAlignment="1" applyProtection="1">
      <alignment horizontal="center"/>
      <protection hidden="1"/>
    </xf>
    <xf numFmtId="0" fontId="14" fillId="0" borderId="0" xfId="7" applyProtection="1">
      <protection hidden="1"/>
    </xf>
    <xf numFmtId="0" fontId="2" fillId="0" borderId="0" xfId="0" applyFont="1" applyAlignment="1" applyProtection="1">
      <alignment horizontal="center"/>
      <protection hidden="1"/>
    </xf>
    <xf numFmtId="0" fontId="2" fillId="0" borderId="0" xfId="0" applyFont="1" applyAlignment="1">
      <alignment horizontal="center"/>
    </xf>
    <xf numFmtId="0" fontId="15" fillId="0" borderId="0" xfId="0" applyFont="1" applyAlignment="1" applyProtection="1">
      <alignment horizontal="center"/>
      <protection hidden="1"/>
    </xf>
    <xf numFmtId="0" fontId="16" fillId="0" borderId="0" xfId="7" applyFont="1" applyFill="1" applyAlignment="1" applyProtection="1">
      <alignment horizontal="center"/>
      <protection hidden="1"/>
    </xf>
    <xf numFmtId="0" fontId="0" fillId="3" borderId="5" xfId="0" applyFill="1" applyBorder="1" applyAlignment="1" applyProtection="1">
      <alignment horizontal="left"/>
      <protection locked="0"/>
    </xf>
    <xf numFmtId="0" fontId="0" fillId="3" borderId="3" xfId="0" applyFill="1" applyBorder="1" applyAlignment="1" applyProtection="1">
      <alignment horizontal="left"/>
      <protection locked="0"/>
    </xf>
    <xf numFmtId="0" fontId="0" fillId="3" borderId="4" xfId="0" applyFill="1" applyBorder="1" applyAlignment="1" applyProtection="1">
      <alignment horizontal="left"/>
      <protection locked="0"/>
    </xf>
    <xf numFmtId="0" fontId="2" fillId="0" borderId="0" xfId="0" applyFont="1" applyAlignment="1">
      <alignment horizontal="center" vertical="center"/>
    </xf>
    <xf numFmtId="0" fontId="0" fillId="3" borderId="2" xfId="0" applyFill="1" applyBorder="1" applyAlignment="1" applyProtection="1">
      <alignment vertical="top" wrapText="1"/>
      <protection locked="0"/>
    </xf>
    <xf numFmtId="0" fontId="0" fillId="3" borderId="0" xfId="0" applyFill="1" applyAlignment="1" applyProtection="1">
      <alignment vertical="top" wrapText="1"/>
      <protection locked="0"/>
    </xf>
    <xf numFmtId="0" fontId="0" fillId="3" borderId="6" xfId="0" applyFill="1" applyBorder="1" applyAlignment="1" applyProtection="1">
      <alignment vertical="top" wrapText="1"/>
      <protection locked="0"/>
    </xf>
    <xf numFmtId="0" fontId="6" fillId="2" borderId="1" xfId="0" applyFont="1" applyFill="1" applyBorder="1" applyAlignment="1">
      <alignment horizontal="left"/>
    </xf>
    <xf numFmtId="0" fontId="6" fillId="2" borderId="1" xfId="0" applyFont="1" applyFill="1" applyBorder="1"/>
    <xf numFmtId="0" fontId="6" fillId="0" borderId="1" xfId="0" applyFont="1" applyBorder="1"/>
    <xf numFmtId="0" fontId="0" fillId="3" borderId="2" xfId="0" applyFill="1" applyBorder="1" applyAlignment="1" applyProtection="1">
      <alignment horizontal="left" vertical="top"/>
      <protection locked="0"/>
    </xf>
    <xf numFmtId="0" fontId="0" fillId="3" borderId="6" xfId="0" applyFill="1" applyBorder="1" applyAlignment="1" applyProtection="1">
      <alignment horizontal="left" vertical="top"/>
      <protection locked="0"/>
    </xf>
    <xf numFmtId="0" fontId="6" fillId="0" borderId="1" xfId="0" applyFont="1" applyBorder="1" applyAlignment="1" applyProtection="1">
      <alignment horizontal="center"/>
      <protection hidden="1"/>
    </xf>
    <xf numFmtId="0" fontId="6" fillId="0" borderId="1" xfId="0" applyFont="1" applyBorder="1" applyAlignment="1">
      <alignment horizontal="center"/>
    </xf>
  </cellXfs>
  <cellStyles count="8">
    <cellStyle name="Hyperlink" xfId="7" builtinId="8"/>
    <cellStyle name="Normal" xfId="0" builtinId="0"/>
    <cellStyle name="Normal 2" xfId="1" xr:uid="{00000000-0005-0000-0000-000002000000}"/>
    <cellStyle name="Normal 2 2" xfId="3" xr:uid="{00000000-0005-0000-0000-000003000000}"/>
    <cellStyle name="Normal 2 3" xfId="2" xr:uid="{00000000-0005-0000-0000-000004000000}"/>
    <cellStyle name="Normal 2 3 2" xfId="4" xr:uid="{00000000-0005-0000-0000-000005000000}"/>
    <cellStyle name="Normal_EffectSizeCalculator" xfId="5" xr:uid="{00000000-0005-0000-0000-000006000000}"/>
    <cellStyle name="Note" xfId="6" builtinId="10"/>
  </cellStyles>
  <dxfs count="0"/>
  <tableStyles count="0" defaultTableStyle="TableStyleMedium9" defaultPivotStyle="PivotStyleLight16"/>
  <colors>
    <mruColors>
      <color rgb="FFFFFFCC"/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Means</c:v>
          </c:tx>
          <c:spPr>
            <a:ln>
              <a:noFill/>
            </a:ln>
          </c:spPr>
          <c:marker>
            <c:symbol val="none"/>
          </c:marker>
          <c:cat>
            <c:multiLvlStrRef>
              <c:f>Means!$B$7:$B$10</c:f>
            </c:multiLvlStrRef>
          </c:cat>
          <c:val>
            <c:numRef>
              <c:f>Means!$D$7:$D$10</c:f>
              <c:numCache>
                <c:formatCode>0.000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84-4120-A188-6CB0B3BB8C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384832"/>
        <c:axId val="111403008"/>
      </c:lineChart>
      <c:scatterChart>
        <c:scatterStyle val="lineMarker"/>
        <c:varyColors val="0"/>
        <c:ser>
          <c:idx val="3"/>
          <c:order val="1"/>
          <c:tx>
            <c:v>Reference</c:v>
          </c:tx>
          <c:spPr>
            <a:ln w="15875">
              <a:solidFill>
                <a:schemeClr val="bg1">
                  <a:lumMod val="50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Means!$G$18:$G$29</c:f>
              <c:numCache>
                <c:formatCode>0.000</c:formatCode>
                <c:ptCount val="12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2.5</c:v>
                </c:pt>
                <c:pt idx="7">
                  <c:v>3</c:v>
                </c:pt>
                <c:pt idx="8">
                  <c:v>3.5</c:v>
                </c:pt>
                <c:pt idx="9">
                  <c:v>3.5</c:v>
                </c:pt>
                <c:pt idx="10">
                  <c:v>4</c:v>
                </c:pt>
                <c:pt idx="11">
                  <c:v>4.5</c:v>
                </c:pt>
              </c:numCache>
            </c:numRef>
          </c:xVal>
          <c:yVal>
            <c:numRef>
              <c:f>Means!$H$18:$H$29</c:f>
              <c:numCache>
                <c:formatCode>0.000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D84-4120-A188-6CB0B3BB8C35}"/>
            </c:ext>
          </c:extLst>
        </c:ser>
        <c:ser>
          <c:idx val="1"/>
          <c:order val="2"/>
          <c:tx>
            <c:v>CIOne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square"/>
              <c:size val="10"/>
              <c:spPr>
                <a:solidFill>
                  <a:schemeClr val="tx1"/>
                </a:solidFill>
                <a:ln>
                  <a:noFill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389B-4FFF-99BE-793242A5E741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389B-4FFF-99BE-793242A5E741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Means!$B$18:$B$20</c:f>
              <c:numCache>
                <c:formatCode>General</c:formatCode>
                <c:ptCount val="3"/>
                <c:pt idx="0">
                  <c:v>1.1000000000000001</c:v>
                </c:pt>
                <c:pt idx="1">
                  <c:v>1.1000000000000001</c:v>
                </c:pt>
                <c:pt idx="2">
                  <c:v>1.1000000000000001</c:v>
                </c:pt>
              </c:numCache>
            </c:numRef>
          </c:xVal>
          <c:yVal>
            <c:numRef>
              <c:f>Means!$C$18:$C$20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89B-4FFF-99BE-793242A5E741}"/>
            </c:ext>
          </c:extLst>
        </c:ser>
        <c:ser>
          <c:idx val="2"/>
          <c:order val="3"/>
          <c:tx>
            <c:v>CITwo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square"/>
              <c:size val="10"/>
              <c:spPr>
                <a:solidFill>
                  <a:schemeClr val="tx1"/>
                </a:solidFill>
                <a:ln>
                  <a:noFill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389B-4FFF-99BE-793242A5E741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389B-4FFF-99BE-793242A5E741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Means!$B$21:$B$23</c:f>
              <c:numCache>
                <c:formatCode>General</c:formatCode>
                <c:ptCount val="3"/>
                <c:pt idx="0">
                  <c:v>2.1</c:v>
                </c:pt>
                <c:pt idx="1">
                  <c:v>2.1</c:v>
                </c:pt>
                <c:pt idx="2">
                  <c:v>2.1</c:v>
                </c:pt>
              </c:numCache>
            </c:numRef>
          </c:xVal>
          <c:yVal>
            <c:numRef>
              <c:f>Means!$C$21:$C$23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89B-4FFF-99BE-793242A5E741}"/>
            </c:ext>
          </c:extLst>
        </c:ser>
        <c:ser>
          <c:idx val="4"/>
          <c:order val="4"/>
          <c:tx>
            <c:v>CIThree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square"/>
              <c:size val="10"/>
              <c:spPr>
                <a:solidFill>
                  <a:schemeClr val="tx1"/>
                </a:solidFill>
                <a:ln>
                  <a:noFill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389B-4FFF-99BE-793242A5E741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389B-4FFF-99BE-793242A5E741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Means!$B$24:$B$26</c:f>
              <c:numCache>
                <c:formatCode>General</c:formatCode>
                <c:ptCount val="3"/>
                <c:pt idx="0">
                  <c:v>3.1</c:v>
                </c:pt>
                <c:pt idx="1">
                  <c:v>3.1</c:v>
                </c:pt>
                <c:pt idx="2">
                  <c:v>3.1</c:v>
                </c:pt>
              </c:numCache>
            </c:numRef>
          </c:xVal>
          <c:yVal>
            <c:numRef>
              <c:f>Means!$C$24:$C$26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89B-4FFF-99BE-793242A5E741}"/>
            </c:ext>
          </c:extLst>
        </c:ser>
        <c:ser>
          <c:idx val="5"/>
          <c:order val="5"/>
          <c:tx>
            <c:v>CIFour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square"/>
              <c:size val="10"/>
              <c:spPr>
                <a:solidFill>
                  <a:schemeClr val="tx1"/>
                </a:solidFill>
                <a:ln>
                  <a:noFill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389B-4FFF-99BE-793242A5E741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389B-4FFF-99BE-793242A5E74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ysClr val="windowText" lastClr="000000"/>
                    </a:solidFill>
                  </a:defRPr>
                </a:pPr>
                <a:endParaRPr lang="en-US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Means!$B$27:$B$29</c:f>
              <c:numCache>
                <c:formatCode>General</c:formatCode>
                <c:ptCount val="3"/>
                <c:pt idx="0">
                  <c:v>4.0999999999999996</c:v>
                </c:pt>
                <c:pt idx="1">
                  <c:v>4.0999999999999996</c:v>
                </c:pt>
                <c:pt idx="2">
                  <c:v>4.0999999999999996</c:v>
                </c:pt>
              </c:numCache>
            </c:numRef>
          </c:xVal>
          <c:yVal>
            <c:numRef>
              <c:f>Means!$C$27:$C$29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89B-4FFF-99BE-793242A5E7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384832"/>
        <c:axId val="111403008"/>
        <c:extLst>
          <c:ext xmlns:c15="http://schemas.microsoft.com/office/drawing/2012/chart" uri="{02D57815-91ED-43cb-92C2-25804820EDAC}">
            <c15:filteredScatterSeries>
              <c15:ser>
                <c:idx val="6"/>
                <c:order val="6"/>
                <c:tx>
                  <c:v>Data</c:v>
                </c:tx>
                <c:spPr>
                  <a:ln w="28575">
                    <a:noFill/>
                  </a:ln>
                </c:spPr>
                <c:marker>
                  <c:symbol val="circle"/>
                  <c:size val="5"/>
                  <c:spPr>
                    <a:noFill/>
                    <a:ln>
                      <a:solidFill>
                        <a:schemeClr val="accent1"/>
                      </a:solidFill>
                    </a:ln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Data!$L$5:$L$505</c15:sqref>
                        </c15:formulaRef>
                      </c:ext>
                    </c:extLst>
                    <c:numCache>
                      <c:formatCode>General</c:formatCode>
                      <c:ptCount val="501"/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Data!$M$5:$M$505</c15:sqref>
                        </c15:formulaRef>
                      </c:ext>
                    </c:extLst>
                    <c:numCache>
                      <c:formatCode>General</c:formatCode>
                      <c:ptCount val="501"/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4-0D36-45A1-8854-7F2251CCBBAC}"/>
                  </c:ext>
                </c:extLst>
              </c15:ser>
            </c15:filteredScatterSeries>
          </c:ext>
        </c:extLst>
      </c:scatterChart>
      <c:catAx>
        <c:axId val="111384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Group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crossAx val="111403008"/>
        <c:crosses val="autoZero"/>
        <c:auto val="1"/>
        <c:lblAlgn val="ctr"/>
        <c:lblOffset val="100"/>
        <c:noMultiLvlLbl val="0"/>
      </c:catAx>
      <c:valAx>
        <c:axId val="11140300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 baseline="0"/>
                  <a:t>Group Means (and CIs)</a:t>
                </a:r>
                <a:endParaRPr lang="en-US" sz="1200"/>
              </a:p>
            </c:rich>
          </c:tx>
          <c:layout>
            <c:manualLayout>
              <c:xMode val="edge"/>
              <c:yMode val="edge"/>
              <c:x val="1.1111111111111101E-2"/>
              <c:y val="0.14891404199475114"/>
            </c:manualLayout>
          </c:layout>
          <c:overlay val="0"/>
        </c:title>
        <c:numFmt formatCode="0.000" sourceLinked="1"/>
        <c:majorTickMark val="out"/>
        <c:minorTickMark val="out"/>
        <c:tickLblPos val="nextTo"/>
        <c:crossAx val="11138483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Means!$M$6</c:f>
              <c:strCache>
                <c:ptCount val="1"/>
                <c:pt idx="0">
                  <c:v>d(unb)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multiLvlStrRef>
              <c:f>Means!$B$7:$B$10</c:f>
            </c:multiLvlStrRef>
          </c:cat>
          <c:val>
            <c:numRef>
              <c:f>Means!$M$7:$M$10</c:f>
              <c:numCache>
                <c:formatCode>0.000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50-483B-A810-C78716833A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384832"/>
        <c:axId val="111403008"/>
      </c:lineChart>
      <c:scatterChart>
        <c:scatterStyle val="lineMarker"/>
        <c:varyColors val="0"/>
        <c:ser>
          <c:idx val="3"/>
          <c:order val="1"/>
          <c:tx>
            <c:strRef>
              <c:f>Means!$L$39</c:f>
              <c:strCache>
                <c:ptCount val="1"/>
                <c:pt idx="0">
                  <c:v>Reference</c:v>
                </c:pt>
              </c:strCache>
            </c:strRef>
          </c:tx>
          <c:spPr>
            <a:ln w="15875">
              <a:solidFill>
                <a:schemeClr val="bg1">
                  <a:lumMod val="50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Means!$P$18:$P$29</c:f>
              <c:numCache>
                <c:formatCode>0.000</c:formatCode>
                <c:ptCount val="12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2.5</c:v>
                </c:pt>
                <c:pt idx="7">
                  <c:v>3</c:v>
                </c:pt>
                <c:pt idx="8">
                  <c:v>3.5</c:v>
                </c:pt>
                <c:pt idx="9">
                  <c:v>3.5</c:v>
                </c:pt>
                <c:pt idx="10">
                  <c:v>4</c:v>
                </c:pt>
                <c:pt idx="11">
                  <c:v>4.5</c:v>
                </c:pt>
              </c:numCache>
            </c:numRef>
          </c:xVal>
          <c:yVal>
            <c:numRef>
              <c:f>Means!$Q$18:$Q$29</c:f>
              <c:numCache>
                <c:formatCode>0.000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650-483B-A810-C78716833ADC}"/>
            </c:ext>
          </c:extLst>
        </c:ser>
        <c:ser>
          <c:idx val="1"/>
          <c:order val="2"/>
          <c:tx>
            <c:v>CIOne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C650-483B-A810-C78716833ADC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C650-483B-A810-C78716833ADC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Means!$K$18:$K$20</c:f>
              <c:numCache>
                <c:formatCode>General</c:formatCode>
                <c:ptCount val="3"/>
                <c:pt idx="0">
                  <c:v>1.1000000000000001</c:v>
                </c:pt>
                <c:pt idx="1">
                  <c:v>1.1000000000000001</c:v>
                </c:pt>
                <c:pt idx="2">
                  <c:v>1.1000000000000001</c:v>
                </c:pt>
              </c:numCache>
            </c:numRef>
          </c:xVal>
          <c:yVal>
            <c:numRef>
              <c:f>Means!$L$18:$L$20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650-483B-A810-C78716833ADC}"/>
            </c:ext>
          </c:extLst>
        </c:ser>
        <c:ser>
          <c:idx val="2"/>
          <c:order val="3"/>
          <c:tx>
            <c:v>CITwo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C650-483B-A810-C78716833ADC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C650-483B-A810-C78716833ADC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Means!$K$21:$K$23</c:f>
              <c:numCache>
                <c:formatCode>General</c:formatCode>
                <c:ptCount val="3"/>
                <c:pt idx="0">
                  <c:v>2.1</c:v>
                </c:pt>
                <c:pt idx="1">
                  <c:v>2.1</c:v>
                </c:pt>
                <c:pt idx="2">
                  <c:v>2.1</c:v>
                </c:pt>
              </c:numCache>
            </c:numRef>
          </c:xVal>
          <c:yVal>
            <c:numRef>
              <c:f>Means!$L$21:$L$23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650-483B-A810-C78716833ADC}"/>
            </c:ext>
          </c:extLst>
        </c:ser>
        <c:ser>
          <c:idx val="4"/>
          <c:order val="4"/>
          <c:tx>
            <c:v>CIThree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C650-483B-A810-C78716833ADC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C650-483B-A810-C78716833ADC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Means!$K$24:$K$26</c:f>
              <c:numCache>
                <c:formatCode>General</c:formatCode>
                <c:ptCount val="3"/>
                <c:pt idx="0">
                  <c:v>3.1</c:v>
                </c:pt>
                <c:pt idx="1">
                  <c:v>3.1</c:v>
                </c:pt>
                <c:pt idx="2">
                  <c:v>3.1</c:v>
                </c:pt>
              </c:numCache>
            </c:numRef>
          </c:xVal>
          <c:yVal>
            <c:numRef>
              <c:f>Means!$L$24:$L$26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C650-483B-A810-C78716833ADC}"/>
            </c:ext>
          </c:extLst>
        </c:ser>
        <c:ser>
          <c:idx val="5"/>
          <c:order val="5"/>
          <c:tx>
            <c:v>CIFour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C650-483B-A810-C78716833ADC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C650-483B-A810-C78716833ADC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Means!$K$27:$K$29</c:f>
              <c:numCache>
                <c:formatCode>General</c:formatCode>
                <c:ptCount val="3"/>
                <c:pt idx="0">
                  <c:v>4.0999999999999996</c:v>
                </c:pt>
                <c:pt idx="1">
                  <c:v>4.0999999999999996</c:v>
                </c:pt>
                <c:pt idx="2">
                  <c:v>4.0999999999999996</c:v>
                </c:pt>
              </c:numCache>
            </c:numRef>
          </c:xVal>
          <c:yVal>
            <c:numRef>
              <c:f>Means!$L$27:$L$29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C650-483B-A810-C78716833A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384832"/>
        <c:axId val="111403008"/>
      </c:scatterChart>
      <c:catAx>
        <c:axId val="111384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Group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crossAx val="111403008"/>
        <c:crosses val="autoZero"/>
        <c:auto val="1"/>
        <c:lblAlgn val="ctr"/>
        <c:lblOffset val="100"/>
        <c:noMultiLvlLbl val="0"/>
      </c:catAx>
      <c:valAx>
        <c:axId val="11140300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 baseline="0"/>
                  <a:t>Standardized Means (and CIs)</a:t>
                </a:r>
                <a:endParaRPr lang="en-US" sz="1200"/>
              </a:p>
            </c:rich>
          </c:tx>
          <c:layout>
            <c:manualLayout>
              <c:xMode val="edge"/>
              <c:yMode val="edge"/>
              <c:x val="1.1111111111111101E-2"/>
              <c:y val="0.14891404199475114"/>
            </c:manualLayout>
          </c:layout>
          <c:overlay val="0"/>
        </c:title>
        <c:numFmt formatCode="0.000" sourceLinked="1"/>
        <c:majorTickMark val="out"/>
        <c:minorTickMark val="out"/>
        <c:tickLblPos val="nextTo"/>
        <c:crossAx val="11138483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Means</c:v>
          </c:tx>
          <c:spPr>
            <a:ln>
              <a:noFill/>
            </a:ln>
          </c:spPr>
          <c:marker>
            <c:symbol val="none"/>
          </c:marker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0-433A-4BF2-9D4E-FB8169C72A7D}"/>
              </c:ext>
            </c:extLst>
          </c:dPt>
          <c:cat>
            <c:strRef>
              <c:f>OneComp!$B$40:$B$44</c:f>
              <c:strCache>
                <c:ptCount val="5"/>
                <c:pt idx="0">
                  <c:v>2</c:v>
                </c:pt>
                <c:pt idx="1">
                  <c:v>1</c:v>
                </c:pt>
                <c:pt idx="3">
                  <c:v>Subset</c:v>
                </c:pt>
                <c:pt idx="4">
                  <c:v>Difference</c:v>
                </c:pt>
              </c:strCache>
            </c:strRef>
          </c:cat>
          <c:val>
            <c:numRef>
              <c:f>OneComp!$D$7:$D$8</c:f>
              <c:numCache>
                <c:formatCode>0.000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B54-48E7-B1A3-3FFDB5D5F7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902208"/>
        <c:axId val="57904128"/>
      </c:lineChart>
      <c:scatterChart>
        <c:scatterStyle val="lineMarker"/>
        <c:varyColors val="0"/>
        <c:ser>
          <c:idx val="3"/>
          <c:order val="1"/>
          <c:tx>
            <c:v>Axis</c:v>
          </c:tx>
          <c:spPr>
            <a:ln w="12700">
              <a:solidFill>
                <a:schemeClr val="tx1"/>
              </a:solidFill>
            </a:ln>
          </c:spPr>
          <c:marker>
            <c:symbol val="dot"/>
            <c:size val="6"/>
            <c:spPr>
              <a:solidFill>
                <a:schemeClr val="tx1"/>
              </a:solidFill>
              <a:ln>
                <a:noFill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0A15-48DF-A26A-9BB03F5A278C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0A15-48DF-A26A-9BB03F5A278C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0A15-48DF-A26A-9BB03F5A278C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7ACD-4577-9B6C-3FD6C97D6069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A-7ACD-4577-9B6C-3FD6C97D6069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B-7ACD-4577-9B6C-3FD6C97D6069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C-7ACD-4577-9B6C-3FD6C97D6069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D-7ACD-4577-9B6C-3FD6C97D6069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E-7ACD-4577-9B6C-3FD6C97D6069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97B6-4CF0-9A3E-619917FF6CA1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97B6-4CF0-9A3E-619917FF6CA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</c:ext>
            </c:extLst>
          </c:dLbls>
          <c:xVal>
            <c:numRef>
              <c:f>OneComp!$F$18:$F$28</c:f>
              <c:numCache>
                <c:formatCode>0.000</c:formatCode>
                <c:ptCount val="11"/>
                <c:pt idx="0">
                  <c:v>3.15</c:v>
                </c:pt>
                <c:pt idx="1">
                  <c:v>3.15</c:v>
                </c:pt>
                <c:pt idx="2">
                  <c:v>3.15</c:v>
                </c:pt>
                <c:pt idx="3">
                  <c:v>3.15</c:v>
                </c:pt>
                <c:pt idx="4">
                  <c:v>3.15</c:v>
                </c:pt>
                <c:pt idx="5">
                  <c:v>3.15</c:v>
                </c:pt>
                <c:pt idx="6">
                  <c:v>3.15</c:v>
                </c:pt>
                <c:pt idx="7">
                  <c:v>3.15</c:v>
                </c:pt>
                <c:pt idx="8">
                  <c:v>3.15</c:v>
                </c:pt>
                <c:pt idx="9">
                  <c:v>3.15</c:v>
                </c:pt>
                <c:pt idx="10">
                  <c:v>3.15</c:v>
                </c:pt>
              </c:numCache>
            </c:numRef>
          </c:xVal>
          <c:yVal>
            <c:numRef>
              <c:f>OneComp!$G$18:$G$28</c:f>
              <c:numCache>
                <c:formatCode>0.000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B54-48E7-B1A3-3FFDB5D5F70E}"/>
            </c:ext>
          </c:extLst>
        </c:ser>
        <c:ser>
          <c:idx val="4"/>
          <c:order val="2"/>
          <c:tx>
            <c:v>ReferOne</c:v>
          </c:tx>
          <c:spPr>
            <a:ln w="15875">
              <a:solidFill>
                <a:schemeClr val="tx1"/>
              </a:solidFill>
              <a:prstDash val="dash"/>
            </a:ln>
          </c:spPr>
          <c:marker>
            <c:symbol val="none"/>
          </c:marker>
          <c:dPt>
            <c:idx val="1"/>
            <c:bubble3D val="0"/>
            <c:spPr>
              <a:ln w="15875">
                <a:solidFill>
                  <a:schemeClr val="bg1">
                    <a:lumMod val="50000"/>
                  </a:schemeClr>
                </a:solidFill>
                <a:prstDash val="dash"/>
              </a:ln>
            </c:spPr>
            <c:extLst>
              <c:ext xmlns:c16="http://schemas.microsoft.com/office/drawing/2014/chart" uri="{C3380CC4-5D6E-409C-BE32-E72D297353CC}">
                <c16:uniqueId val="{00000006-9EBF-4187-9589-E0E6B41CBB59}"/>
              </c:ext>
            </c:extLst>
          </c:dPt>
          <c:xVal>
            <c:numRef>
              <c:f>OneComp!$B$31:$B$32</c:f>
              <c:numCache>
                <c:formatCode>General</c:formatCode>
                <c:ptCount val="2"/>
                <c:pt idx="0">
                  <c:v>1.1000000000000001</c:v>
                </c:pt>
                <c:pt idx="1">
                  <c:v>3.15</c:v>
                </c:pt>
              </c:numCache>
            </c:numRef>
          </c:xVal>
          <c:yVal>
            <c:numRef>
              <c:f>OneComp!$C$31:$C$32</c:f>
              <c:numCache>
                <c:formatCode>0.000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B29-4050-AAF0-7298EB326572}"/>
            </c:ext>
          </c:extLst>
        </c:ser>
        <c:ser>
          <c:idx val="5"/>
          <c:order val="3"/>
          <c:tx>
            <c:v>ReferTwo</c:v>
          </c:tx>
          <c:spPr>
            <a:ln w="15875">
              <a:solidFill>
                <a:schemeClr val="bg1">
                  <a:lumMod val="50000"/>
                </a:schemeClr>
              </a:solidFill>
              <a:prstDash val="dash"/>
            </a:ln>
          </c:spPr>
          <c:marker>
            <c:symbol val="none"/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3-6B29-4050-AAF0-7298EB326572}"/>
              </c:ext>
            </c:extLst>
          </c:dPt>
          <c:xVal>
            <c:numRef>
              <c:f>OneComp!$D$31:$D$32</c:f>
              <c:numCache>
                <c:formatCode>General</c:formatCode>
                <c:ptCount val="2"/>
                <c:pt idx="0">
                  <c:v>2.1</c:v>
                </c:pt>
                <c:pt idx="1">
                  <c:v>3.15</c:v>
                </c:pt>
              </c:numCache>
            </c:numRef>
          </c:xVal>
          <c:yVal>
            <c:numRef>
              <c:f>OneComp!$E$31:$E$32</c:f>
              <c:numCache>
                <c:formatCode>0.000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B29-4050-AAF0-7298EB326572}"/>
            </c:ext>
          </c:extLst>
        </c:ser>
        <c:ser>
          <c:idx val="1"/>
          <c:order val="4"/>
          <c:tx>
            <c:v>CIOne</c:v>
          </c:tx>
          <c:spPr>
            <a:ln w="25400">
              <a:solidFill>
                <a:srgbClr val="000000"/>
              </a:solidFill>
            </a:ln>
          </c:spPr>
          <c:marker>
            <c:symbol val="none"/>
          </c:marker>
          <c:dPt>
            <c:idx val="1"/>
            <c:marker>
              <c:symbol val="square"/>
              <c:size val="10"/>
              <c:spPr>
                <a:solidFill>
                  <a:schemeClr val="tx1"/>
                </a:solidFill>
                <a:ln>
                  <a:noFill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7ACD-4577-9B6C-3FD6C97D6069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ACD-4577-9B6C-3FD6C97D6069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OneComp!$B$18:$B$20</c:f>
              <c:numCache>
                <c:formatCode>General</c:formatCode>
                <c:ptCount val="3"/>
                <c:pt idx="0">
                  <c:v>1.1000000000000001</c:v>
                </c:pt>
                <c:pt idx="1">
                  <c:v>1.1000000000000001</c:v>
                </c:pt>
                <c:pt idx="2">
                  <c:v>1.1000000000000001</c:v>
                </c:pt>
              </c:numCache>
            </c:numRef>
          </c:xVal>
          <c:yVal>
            <c:numRef>
              <c:f>OneComp!$C$18:$C$20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ACD-4577-9B6C-3FD6C97D6069}"/>
            </c:ext>
          </c:extLst>
        </c:ser>
        <c:ser>
          <c:idx val="2"/>
          <c:order val="5"/>
          <c:tx>
            <c:v>CITwo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square"/>
              <c:size val="10"/>
              <c:spPr>
                <a:solidFill>
                  <a:schemeClr val="tx1"/>
                </a:solidFill>
                <a:ln>
                  <a:noFill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7ACD-4577-9B6C-3FD6C97D6069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7ACD-4577-9B6C-3FD6C97D6069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OneComp!$B$21:$B$23</c:f>
              <c:numCache>
                <c:formatCode>General</c:formatCode>
                <c:ptCount val="3"/>
                <c:pt idx="0">
                  <c:v>2.1</c:v>
                </c:pt>
                <c:pt idx="1">
                  <c:v>2.1</c:v>
                </c:pt>
                <c:pt idx="2">
                  <c:v>2.1</c:v>
                </c:pt>
              </c:numCache>
            </c:numRef>
          </c:xVal>
          <c:yVal>
            <c:numRef>
              <c:f>OneComp!$C$21:$C$23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7ACD-4577-9B6C-3FD6C97D6069}"/>
            </c:ext>
          </c:extLst>
        </c:ser>
        <c:ser>
          <c:idx val="6"/>
          <c:order val="6"/>
          <c:tx>
            <c:v>CIDiff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tx1"/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9-7ACD-4577-9B6C-3FD6C97D6069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3-7ACD-4577-9B6C-3FD6C97D6069}"/>
                </c:ext>
              </c:extLst>
            </c:dLbl>
            <c:dLbl>
              <c:idx val="1"/>
              <c:tx>
                <c:rich>
                  <a:bodyPr vertOverflow="overflow" horzOverflow="overflow" wrap="square" lIns="38100" tIns="19050" rIns="38100" bIns="19050" anchor="ctr">
                    <a:spAutoFit/>
                  </a:bodyPr>
                  <a:lstStyle/>
                  <a:p>
                    <a:pPr>
                      <a:defRPr b="1">
                        <a:ln>
                          <a:noFill/>
                        </a:ln>
                        <a:solidFill>
                          <a:schemeClr val="tx1"/>
                        </a:solidFill>
                      </a:defRPr>
                    </a:pPr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7ACD-4577-9B6C-3FD6C97D6069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4-7ACD-4577-9B6C-3FD6C97D606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overflow" horzOverflow="overflow" wrap="square" lIns="38100" tIns="19050" rIns="38100" bIns="19050" anchor="ctr">
                <a:spAutoFit/>
              </a:bodyPr>
              <a:lstStyle/>
              <a:p>
                <a:pPr>
                  <a:defRPr b="0">
                    <a:ln>
                      <a:noFill/>
                    </a:ln>
                    <a:solidFill>
                      <a:schemeClr val="tx1"/>
                    </a:solidFill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</c:ext>
            </c:extLst>
          </c:dLbls>
          <c:xVal>
            <c:numRef>
              <c:f>OneComp!$B$24:$B$26</c:f>
              <c:numCache>
                <c:formatCode>General</c:formatCode>
                <c:ptCount val="3"/>
                <c:pt idx="0">
                  <c:v>2.75</c:v>
                </c:pt>
                <c:pt idx="1">
                  <c:v>2.75</c:v>
                </c:pt>
                <c:pt idx="2">
                  <c:v>2.75</c:v>
                </c:pt>
              </c:numCache>
            </c:numRef>
          </c:xVal>
          <c:yVal>
            <c:numRef>
              <c:f>OneComp!$C$24:$C$26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7ACD-4577-9B6C-3FD6C97D60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902208"/>
        <c:axId val="57904128"/>
      </c:scatterChart>
      <c:catAx>
        <c:axId val="579022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Group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crossAx val="57904128"/>
        <c:crosses val="autoZero"/>
        <c:auto val="1"/>
        <c:lblAlgn val="ctr"/>
        <c:lblOffset val="100"/>
        <c:noMultiLvlLbl val="0"/>
      </c:catAx>
      <c:valAx>
        <c:axId val="5790412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/>
                  <a:t>Mean (and CI)</a:t>
                </a:r>
              </a:p>
            </c:rich>
          </c:tx>
          <c:overlay val="0"/>
        </c:title>
        <c:numFmt formatCode="0.000" sourceLinked="1"/>
        <c:majorTickMark val="out"/>
        <c:minorTickMark val="out"/>
        <c:tickLblPos val="nextTo"/>
        <c:spPr>
          <a:ln/>
        </c:spPr>
        <c:crossAx val="57902208"/>
        <c:crosses val="autoZero"/>
        <c:crossBetween val="between"/>
      </c:valAx>
      <c:spPr>
        <a:gradFill>
          <a:gsLst>
            <a:gs pos="67000">
              <a:schemeClr val="bg1">
                <a:lumMod val="95000"/>
              </a:schemeClr>
            </a:gs>
            <a:gs pos="66000">
              <a:schemeClr val="bg1"/>
            </a:gs>
          </a:gsLst>
          <a:lin ang="0" scaled="0"/>
        </a:gradFill>
        <a:ln>
          <a:noFill/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000000000000322" l="0.70000000000000062" r="0.70000000000000062" t="0.75000000000000322" header="0.30000000000000032" footer="0.30000000000000032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dunb</c:v>
          </c:tx>
          <c:spPr>
            <a:ln>
              <a:noFill/>
            </a:ln>
          </c:spPr>
          <c:marker>
            <c:symbol val="none"/>
          </c:marker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0-FD7C-4E91-9B2D-29D3A1F40736}"/>
              </c:ext>
            </c:extLst>
          </c:dPt>
          <c:cat>
            <c:strRef>
              <c:f>OneComp!$K$7:$K$11</c:f>
              <c:strCache>
                <c:ptCount val="5"/>
                <c:pt idx="0">
                  <c:v>2</c:v>
                </c:pt>
                <c:pt idx="1">
                  <c:v>1</c:v>
                </c:pt>
                <c:pt idx="3">
                  <c:v>Subset</c:v>
                </c:pt>
                <c:pt idx="4">
                  <c:v>Difference</c:v>
                </c:pt>
              </c:strCache>
            </c:strRef>
          </c:cat>
          <c:val>
            <c:numRef>
              <c:f>OneComp!$M$7:$M$8</c:f>
              <c:numCache>
                <c:formatCode>0.000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7C-4E91-9B2D-29D3A1F407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902208"/>
        <c:axId val="57904128"/>
      </c:lineChart>
      <c:scatterChart>
        <c:scatterStyle val="lineMarker"/>
        <c:varyColors val="0"/>
        <c:ser>
          <c:idx val="3"/>
          <c:order val="1"/>
          <c:tx>
            <c:v>Axis</c:v>
          </c:tx>
          <c:spPr>
            <a:ln w="12700">
              <a:solidFill>
                <a:schemeClr val="tx1"/>
              </a:solidFill>
            </a:ln>
          </c:spPr>
          <c:marker>
            <c:symbol val="dot"/>
            <c:size val="6"/>
            <c:spPr>
              <a:solidFill>
                <a:schemeClr val="tx1"/>
              </a:solidFill>
              <a:ln>
                <a:noFill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FD7C-4E91-9B2D-29D3A1F40736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FD7C-4E91-9B2D-29D3A1F40736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FD7C-4E91-9B2D-29D3A1F40736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FD7C-4E91-9B2D-29D3A1F40736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FD7C-4E91-9B2D-29D3A1F40736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7-FD7C-4E91-9B2D-29D3A1F40736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8-FD7C-4E91-9B2D-29D3A1F40736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FD7C-4E91-9B2D-29D3A1F40736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A-FD7C-4E91-9B2D-29D3A1F40736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B-FD7C-4E91-9B2D-29D3A1F40736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C-FD7C-4E91-9B2D-29D3A1F40736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</c:ext>
            </c:extLst>
          </c:dLbls>
          <c:xVal>
            <c:numRef>
              <c:f>OneComp!$O$18:$O$28</c:f>
              <c:numCache>
                <c:formatCode>0.000</c:formatCode>
                <c:ptCount val="11"/>
                <c:pt idx="0">
                  <c:v>3.15</c:v>
                </c:pt>
                <c:pt idx="1">
                  <c:v>3.15</c:v>
                </c:pt>
                <c:pt idx="2">
                  <c:v>3.15</c:v>
                </c:pt>
                <c:pt idx="3">
                  <c:v>3.15</c:v>
                </c:pt>
                <c:pt idx="4">
                  <c:v>3.15</c:v>
                </c:pt>
                <c:pt idx="5">
                  <c:v>3.15</c:v>
                </c:pt>
                <c:pt idx="6">
                  <c:v>3.15</c:v>
                </c:pt>
                <c:pt idx="7">
                  <c:v>3.15</c:v>
                </c:pt>
                <c:pt idx="8">
                  <c:v>3.15</c:v>
                </c:pt>
                <c:pt idx="9">
                  <c:v>3.15</c:v>
                </c:pt>
                <c:pt idx="10">
                  <c:v>3.15</c:v>
                </c:pt>
              </c:numCache>
            </c:numRef>
          </c:xVal>
          <c:yVal>
            <c:numRef>
              <c:f>OneComp!$P$18:$P$28</c:f>
              <c:numCache>
                <c:formatCode>0.000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FD7C-4E91-9B2D-29D3A1F40736}"/>
            </c:ext>
          </c:extLst>
        </c:ser>
        <c:ser>
          <c:idx val="4"/>
          <c:order val="2"/>
          <c:tx>
            <c:v>ReferOne</c:v>
          </c:tx>
          <c:spPr>
            <a:ln w="15875">
              <a:solidFill>
                <a:schemeClr val="bg1">
                  <a:lumMod val="50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OneComp!$K$31:$K$32</c:f>
              <c:numCache>
                <c:formatCode>General</c:formatCode>
                <c:ptCount val="2"/>
                <c:pt idx="0">
                  <c:v>1.1000000000000001</c:v>
                </c:pt>
                <c:pt idx="1">
                  <c:v>3.15</c:v>
                </c:pt>
              </c:numCache>
            </c:numRef>
          </c:xVal>
          <c:yVal>
            <c:numRef>
              <c:f>OneComp!$L$31:$L$32</c:f>
              <c:numCache>
                <c:formatCode>0.000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FD7C-4E91-9B2D-29D3A1F40736}"/>
            </c:ext>
          </c:extLst>
        </c:ser>
        <c:ser>
          <c:idx val="5"/>
          <c:order val="3"/>
          <c:tx>
            <c:v>ReferTwo</c:v>
          </c:tx>
          <c:spPr>
            <a:ln w="15875">
              <a:solidFill>
                <a:schemeClr val="bg1">
                  <a:lumMod val="50000"/>
                </a:schemeClr>
              </a:solidFill>
              <a:prstDash val="dash"/>
            </a:ln>
          </c:spPr>
          <c:marker>
            <c:symbol val="none"/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10-FD7C-4E91-9B2D-29D3A1F40736}"/>
              </c:ext>
            </c:extLst>
          </c:dPt>
          <c:xVal>
            <c:numRef>
              <c:f>OneComp!$M$31:$M$32</c:f>
              <c:numCache>
                <c:formatCode>General</c:formatCode>
                <c:ptCount val="2"/>
                <c:pt idx="0">
                  <c:v>2.1</c:v>
                </c:pt>
                <c:pt idx="1">
                  <c:v>3.15</c:v>
                </c:pt>
              </c:numCache>
            </c:numRef>
          </c:xVal>
          <c:yVal>
            <c:numRef>
              <c:f>OneComp!$N$31:$N$32</c:f>
              <c:numCache>
                <c:formatCode>0.000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FD7C-4E91-9B2D-29D3A1F40736}"/>
            </c:ext>
          </c:extLst>
        </c:ser>
        <c:ser>
          <c:idx val="1"/>
          <c:order val="4"/>
          <c:tx>
            <c:v>CIOne</c:v>
          </c:tx>
          <c:spPr>
            <a:ln w="25400">
              <a:solidFill>
                <a:srgbClr val="000000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75000"/>
                  </a:schemeClr>
                </a:solidFill>
                <a:ln w="25400">
                  <a:solidFill>
                    <a:srgbClr val="0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2-FD7C-4E91-9B2D-29D3A1F40736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2-FD7C-4E91-9B2D-29D3A1F40736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OneComp!$K$18:$K$20</c:f>
              <c:numCache>
                <c:formatCode>General</c:formatCode>
                <c:ptCount val="3"/>
                <c:pt idx="0">
                  <c:v>1.1000000000000001</c:v>
                </c:pt>
                <c:pt idx="1">
                  <c:v>1.1000000000000001</c:v>
                </c:pt>
                <c:pt idx="2">
                  <c:v>1.1000000000000001</c:v>
                </c:pt>
              </c:numCache>
            </c:numRef>
          </c:xVal>
          <c:yVal>
            <c:numRef>
              <c:f>OneComp!$L$18:$L$20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FD7C-4E91-9B2D-29D3A1F40736}"/>
            </c:ext>
          </c:extLst>
        </c:ser>
        <c:ser>
          <c:idx val="2"/>
          <c:order val="5"/>
          <c:tx>
            <c:v>CITwo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7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4-FD7C-4E91-9B2D-29D3A1F40736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4-FD7C-4E91-9B2D-29D3A1F40736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OneComp!$K$21:$K$23</c:f>
              <c:numCache>
                <c:formatCode>General</c:formatCode>
                <c:ptCount val="3"/>
                <c:pt idx="0">
                  <c:v>2.1</c:v>
                </c:pt>
                <c:pt idx="1">
                  <c:v>2.1</c:v>
                </c:pt>
                <c:pt idx="2">
                  <c:v>2.1</c:v>
                </c:pt>
              </c:numCache>
            </c:numRef>
          </c:xVal>
          <c:yVal>
            <c:numRef>
              <c:f>OneComp!$L$21:$L$23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FD7C-4E91-9B2D-29D3A1F40736}"/>
            </c:ext>
          </c:extLst>
        </c:ser>
        <c:ser>
          <c:idx val="6"/>
          <c:order val="6"/>
          <c:tx>
            <c:v>CIDiff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7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6-FD7C-4E91-9B2D-29D3A1F40736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7-FD7C-4E91-9B2D-29D3A1F40736}"/>
                </c:ext>
              </c:extLst>
            </c:dLbl>
            <c:dLbl>
              <c:idx val="1"/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b="1"/>
                    </a:pPr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6-FD7C-4E91-9B2D-29D3A1F40736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8-FD7C-4E91-9B2D-29D3A1F40736}"/>
                </c:ext>
              </c:extLst>
            </c:dLbl>
            <c:spPr>
              <a:noFill/>
              <a:ln>
                <a:noFill/>
              </a:ln>
              <a:effectLst/>
            </c:spPr>
            <c:dLblPos val="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</c:ext>
            </c:extLst>
          </c:dLbls>
          <c:xVal>
            <c:numRef>
              <c:f>OneComp!$K$24:$K$26</c:f>
              <c:numCache>
                <c:formatCode>General</c:formatCode>
                <c:ptCount val="3"/>
                <c:pt idx="0">
                  <c:v>2.75</c:v>
                </c:pt>
                <c:pt idx="1">
                  <c:v>2.75</c:v>
                </c:pt>
                <c:pt idx="2">
                  <c:v>2.75</c:v>
                </c:pt>
              </c:numCache>
            </c:numRef>
          </c:xVal>
          <c:yVal>
            <c:numRef>
              <c:f>OneComp!$L$24:$L$26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9-FD7C-4E91-9B2D-29D3A1F407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902208"/>
        <c:axId val="57904128"/>
      </c:scatterChart>
      <c:catAx>
        <c:axId val="579022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Group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crossAx val="57904128"/>
        <c:crosses val="autoZero"/>
        <c:auto val="1"/>
        <c:lblAlgn val="ctr"/>
        <c:lblOffset val="100"/>
        <c:noMultiLvlLbl val="0"/>
      </c:catAx>
      <c:valAx>
        <c:axId val="5790412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/>
                  <a:t>Standardized</a:t>
                </a:r>
                <a:r>
                  <a:rPr lang="en-US" sz="1200" baseline="0"/>
                  <a:t> Difference</a:t>
                </a:r>
                <a:r>
                  <a:rPr lang="en-US" sz="1200"/>
                  <a:t> (and CI)</a:t>
                </a:r>
              </a:p>
            </c:rich>
          </c:tx>
          <c:overlay val="0"/>
        </c:title>
        <c:numFmt formatCode="0.000" sourceLinked="1"/>
        <c:majorTickMark val="out"/>
        <c:minorTickMark val="out"/>
        <c:tickLblPos val="nextTo"/>
        <c:spPr>
          <a:ln/>
        </c:spPr>
        <c:crossAx val="57902208"/>
        <c:crosses val="autoZero"/>
        <c:crossBetween val="between"/>
      </c:valAx>
      <c:spPr>
        <a:gradFill>
          <a:gsLst>
            <a:gs pos="67000">
              <a:schemeClr val="bg1">
                <a:lumMod val="95000"/>
              </a:schemeClr>
            </a:gs>
            <a:gs pos="66000">
              <a:schemeClr val="bg1"/>
            </a:gs>
          </a:gsLst>
          <a:lin ang="0" scaled="0"/>
        </a:gradFill>
        <a:ln>
          <a:noFill/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000000000000322" l="0.70000000000000062" r="0.70000000000000062" t="0.75000000000000322" header="0.30000000000000032" footer="0.30000000000000032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Pairwise!$D$6</c:f>
              <c:strCache>
                <c:ptCount val="1"/>
                <c:pt idx="0">
                  <c:v>Diff.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multiLvlStrRef>
              <c:f>Pairwise!$B$7:$B$12</c:f>
            </c:multiLvlStrRef>
          </c:cat>
          <c:val>
            <c:numRef>
              <c:f>Pairwise!$D$7:$D$12</c:f>
              <c:numCache>
                <c:formatCode>0.000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7A-4259-BE10-515869D11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384832"/>
        <c:axId val="111403008"/>
      </c:lineChart>
      <c:scatterChart>
        <c:scatterStyle val="lineMarker"/>
        <c:varyColors val="0"/>
        <c:ser>
          <c:idx val="3"/>
          <c:order val="1"/>
          <c:tx>
            <c:v>Reference</c:v>
          </c:tx>
          <c:spPr>
            <a:ln w="15875">
              <a:solidFill>
                <a:schemeClr val="bg1">
                  <a:lumMod val="50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Pairwise!$G$18:$G$35</c:f>
              <c:numCache>
                <c:formatCode>0.000</c:formatCode>
                <c:ptCount val="18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2.5</c:v>
                </c:pt>
                <c:pt idx="7">
                  <c:v>3</c:v>
                </c:pt>
                <c:pt idx="8">
                  <c:v>3.5</c:v>
                </c:pt>
                <c:pt idx="9">
                  <c:v>3.5</c:v>
                </c:pt>
                <c:pt idx="10">
                  <c:v>4</c:v>
                </c:pt>
                <c:pt idx="11">
                  <c:v>4.5</c:v>
                </c:pt>
                <c:pt idx="12">
                  <c:v>4.5</c:v>
                </c:pt>
                <c:pt idx="13">
                  <c:v>5</c:v>
                </c:pt>
                <c:pt idx="14">
                  <c:v>5.5</c:v>
                </c:pt>
                <c:pt idx="15">
                  <c:v>5.5</c:v>
                </c:pt>
                <c:pt idx="16">
                  <c:v>6</c:v>
                </c:pt>
                <c:pt idx="17">
                  <c:v>6.5</c:v>
                </c:pt>
              </c:numCache>
            </c:numRef>
          </c:xVal>
          <c:yVal>
            <c:numRef>
              <c:f>Pairwise!$H$18:$H$35</c:f>
              <c:numCache>
                <c:formatCode>0.000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47A-4259-BE10-515869D11E4D}"/>
            </c:ext>
          </c:extLst>
        </c:ser>
        <c:ser>
          <c:idx val="1"/>
          <c:order val="2"/>
          <c:tx>
            <c:v>CIOne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tx1"/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B47A-4259-BE10-515869D11E4D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B47A-4259-BE10-515869D11E4D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Pairwise!$B$18:$B$20</c:f>
              <c:numCache>
                <c:formatCode>0.000</c:formatCode>
                <c:ptCount val="3"/>
                <c:pt idx="0">
                  <c:v>1.1000000000000001</c:v>
                </c:pt>
                <c:pt idx="1">
                  <c:v>1.1000000000000001</c:v>
                </c:pt>
                <c:pt idx="2">
                  <c:v>1.1000000000000001</c:v>
                </c:pt>
              </c:numCache>
            </c:numRef>
          </c:xVal>
          <c:yVal>
            <c:numRef>
              <c:f>Pairwise!$C$18:$C$20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47A-4259-BE10-515869D11E4D}"/>
            </c:ext>
          </c:extLst>
        </c:ser>
        <c:ser>
          <c:idx val="2"/>
          <c:order val="3"/>
          <c:tx>
            <c:v>CITwo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tx1"/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B47A-4259-BE10-515869D11E4D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47A-4259-BE10-515869D11E4D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Pairwise!$B$21:$B$23</c:f>
              <c:numCache>
                <c:formatCode>0.000</c:formatCode>
                <c:ptCount val="3"/>
                <c:pt idx="0">
                  <c:v>2.1</c:v>
                </c:pt>
                <c:pt idx="1">
                  <c:v>2.1</c:v>
                </c:pt>
                <c:pt idx="2">
                  <c:v>2.1</c:v>
                </c:pt>
              </c:numCache>
            </c:numRef>
          </c:xVal>
          <c:yVal>
            <c:numRef>
              <c:f>Pairwise!$C$21:$C$23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47A-4259-BE10-515869D11E4D}"/>
            </c:ext>
          </c:extLst>
        </c:ser>
        <c:ser>
          <c:idx val="4"/>
          <c:order val="4"/>
          <c:tx>
            <c:v>CIThree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tx1"/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B47A-4259-BE10-515869D11E4D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47A-4259-BE10-515869D11E4D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Pairwise!$B$24:$B$26</c:f>
              <c:numCache>
                <c:formatCode>0.000</c:formatCode>
                <c:ptCount val="3"/>
                <c:pt idx="0">
                  <c:v>3.1</c:v>
                </c:pt>
                <c:pt idx="1">
                  <c:v>3.1</c:v>
                </c:pt>
                <c:pt idx="2">
                  <c:v>3.1</c:v>
                </c:pt>
              </c:numCache>
            </c:numRef>
          </c:xVal>
          <c:yVal>
            <c:numRef>
              <c:f>Pairwise!$C$24:$C$26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B47A-4259-BE10-515869D11E4D}"/>
            </c:ext>
          </c:extLst>
        </c:ser>
        <c:ser>
          <c:idx val="5"/>
          <c:order val="5"/>
          <c:tx>
            <c:v>CIFour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tx1"/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B47A-4259-BE10-515869D11E4D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47A-4259-BE10-515869D11E4D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Pairwise!$B$27:$B$29</c:f>
              <c:numCache>
                <c:formatCode>0.000</c:formatCode>
                <c:ptCount val="3"/>
                <c:pt idx="0">
                  <c:v>4.0999999999999996</c:v>
                </c:pt>
                <c:pt idx="1">
                  <c:v>4.0999999999999996</c:v>
                </c:pt>
                <c:pt idx="2">
                  <c:v>4.0999999999999996</c:v>
                </c:pt>
              </c:numCache>
            </c:numRef>
          </c:xVal>
          <c:yVal>
            <c:numRef>
              <c:f>Pairwise!$C$27:$C$29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B47A-4259-BE10-515869D11E4D}"/>
            </c:ext>
          </c:extLst>
        </c:ser>
        <c:ser>
          <c:idx val="6"/>
          <c:order val="6"/>
          <c:tx>
            <c:v>CIFive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tx1"/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B47A-4259-BE10-515869D11E4D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C-B47A-4259-BE10-515869D11E4D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Pairwise!$B$30:$B$32</c:f>
              <c:numCache>
                <c:formatCode>0.000</c:formatCode>
                <c:ptCount val="3"/>
                <c:pt idx="0">
                  <c:v>5.0999999999999996</c:v>
                </c:pt>
                <c:pt idx="1">
                  <c:v>5.0999999999999996</c:v>
                </c:pt>
                <c:pt idx="2">
                  <c:v>5.0999999999999996</c:v>
                </c:pt>
              </c:numCache>
            </c:numRef>
          </c:xVal>
          <c:yVal>
            <c:numRef>
              <c:f>Pairwise!$C$30:$C$32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B47A-4259-BE10-515869D11E4D}"/>
            </c:ext>
          </c:extLst>
        </c:ser>
        <c:ser>
          <c:idx val="7"/>
          <c:order val="7"/>
          <c:tx>
            <c:v>CISix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tx1"/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B47A-4259-BE10-515869D11E4D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D-B47A-4259-BE10-515869D11E4D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Pairwise!$B$33:$B$35</c:f>
              <c:numCache>
                <c:formatCode>0.000</c:formatCode>
                <c:ptCount val="3"/>
                <c:pt idx="0">
                  <c:v>6.1</c:v>
                </c:pt>
                <c:pt idx="1">
                  <c:v>6.1</c:v>
                </c:pt>
                <c:pt idx="2">
                  <c:v>6.1</c:v>
                </c:pt>
              </c:numCache>
            </c:numRef>
          </c:xVal>
          <c:yVal>
            <c:numRef>
              <c:f>Pairwise!$C$33:$C$35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B47A-4259-BE10-515869D11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384832"/>
        <c:axId val="111403008"/>
      </c:scatterChart>
      <c:catAx>
        <c:axId val="111384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Pairwise Comparison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crossAx val="111403008"/>
        <c:crosses val="autoZero"/>
        <c:auto val="1"/>
        <c:lblAlgn val="ctr"/>
        <c:lblOffset val="100"/>
        <c:noMultiLvlLbl val="0"/>
      </c:catAx>
      <c:valAx>
        <c:axId val="11140300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 baseline="0"/>
                  <a:t>Mean Differences (and CIs)</a:t>
                </a:r>
                <a:endParaRPr lang="en-US" sz="1200"/>
              </a:p>
            </c:rich>
          </c:tx>
          <c:layout>
            <c:manualLayout>
              <c:xMode val="edge"/>
              <c:yMode val="edge"/>
              <c:x val="1.1111111111111101E-2"/>
              <c:y val="0.14891404199475114"/>
            </c:manualLayout>
          </c:layout>
          <c:overlay val="0"/>
        </c:title>
        <c:numFmt formatCode="0.000" sourceLinked="1"/>
        <c:majorTickMark val="out"/>
        <c:minorTickMark val="out"/>
        <c:tickLblPos val="nextTo"/>
        <c:crossAx val="11138483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Pairwise!$M$6</c:f>
              <c:strCache>
                <c:ptCount val="1"/>
                <c:pt idx="0">
                  <c:v>d(unb)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multiLvlStrRef>
              <c:f>Pairwise!$B$7:$B$12</c:f>
            </c:multiLvlStrRef>
          </c:cat>
          <c:val>
            <c:numRef>
              <c:f>Pairwise!$K$7:$K$12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61-4A16-9DCA-421717710F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384832"/>
        <c:axId val="111403008"/>
      </c:lineChart>
      <c:scatterChart>
        <c:scatterStyle val="lineMarker"/>
        <c:varyColors val="0"/>
        <c:ser>
          <c:idx val="3"/>
          <c:order val="1"/>
          <c:tx>
            <c:strRef>
              <c:f>Pairwise!$L$39</c:f>
              <c:strCache>
                <c:ptCount val="1"/>
                <c:pt idx="0">
                  <c:v>Reference</c:v>
                </c:pt>
              </c:strCache>
            </c:strRef>
          </c:tx>
          <c:spPr>
            <a:ln w="15875">
              <a:solidFill>
                <a:schemeClr val="bg1">
                  <a:lumMod val="50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Pairwise!$P$18:$P$35</c:f>
              <c:numCache>
                <c:formatCode>0.000</c:formatCode>
                <c:ptCount val="18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2.5</c:v>
                </c:pt>
                <c:pt idx="7">
                  <c:v>3</c:v>
                </c:pt>
                <c:pt idx="8">
                  <c:v>3.5</c:v>
                </c:pt>
                <c:pt idx="9">
                  <c:v>3.5</c:v>
                </c:pt>
                <c:pt idx="10">
                  <c:v>4</c:v>
                </c:pt>
                <c:pt idx="11">
                  <c:v>4.5</c:v>
                </c:pt>
                <c:pt idx="12">
                  <c:v>4.5</c:v>
                </c:pt>
                <c:pt idx="13">
                  <c:v>5</c:v>
                </c:pt>
                <c:pt idx="14">
                  <c:v>5.5</c:v>
                </c:pt>
                <c:pt idx="15">
                  <c:v>5.5</c:v>
                </c:pt>
                <c:pt idx="16">
                  <c:v>6</c:v>
                </c:pt>
                <c:pt idx="17">
                  <c:v>6.5</c:v>
                </c:pt>
              </c:numCache>
            </c:numRef>
          </c:xVal>
          <c:yVal>
            <c:numRef>
              <c:f>Pairwise!$Q$18:$Q$35</c:f>
              <c:numCache>
                <c:formatCode>0.000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661-4A16-9DCA-421717710FB8}"/>
            </c:ext>
          </c:extLst>
        </c:ser>
        <c:ser>
          <c:idx val="1"/>
          <c:order val="2"/>
          <c:tx>
            <c:v>CIOne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0661-4A16-9DCA-421717710FB8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0661-4A16-9DCA-421717710FB8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Pairwise!$K$18:$K$20</c:f>
              <c:numCache>
                <c:formatCode>0.000</c:formatCode>
                <c:ptCount val="3"/>
                <c:pt idx="0">
                  <c:v>1.1000000000000001</c:v>
                </c:pt>
                <c:pt idx="1">
                  <c:v>1.1000000000000001</c:v>
                </c:pt>
                <c:pt idx="2">
                  <c:v>1.1000000000000001</c:v>
                </c:pt>
              </c:numCache>
            </c:numRef>
          </c:xVal>
          <c:yVal>
            <c:numRef>
              <c:f>Pairwise!$L$18:$L$20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661-4A16-9DCA-421717710FB8}"/>
            </c:ext>
          </c:extLst>
        </c:ser>
        <c:ser>
          <c:idx val="2"/>
          <c:order val="3"/>
          <c:tx>
            <c:v>CITwo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0661-4A16-9DCA-421717710FB8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0661-4A16-9DCA-421717710FB8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Pairwise!$K$21:$K$23</c:f>
              <c:numCache>
                <c:formatCode>0.000</c:formatCode>
                <c:ptCount val="3"/>
                <c:pt idx="0">
                  <c:v>2.1</c:v>
                </c:pt>
                <c:pt idx="1">
                  <c:v>2.1</c:v>
                </c:pt>
                <c:pt idx="2">
                  <c:v>2.1</c:v>
                </c:pt>
              </c:numCache>
            </c:numRef>
          </c:xVal>
          <c:yVal>
            <c:numRef>
              <c:f>Pairwise!$L$21:$L$23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0661-4A16-9DCA-421717710FB8}"/>
            </c:ext>
          </c:extLst>
        </c:ser>
        <c:ser>
          <c:idx val="4"/>
          <c:order val="4"/>
          <c:tx>
            <c:v>CIThree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0661-4A16-9DCA-421717710FB8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0661-4A16-9DCA-421717710FB8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Pairwise!$K$24:$K$26</c:f>
              <c:numCache>
                <c:formatCode>0.000</c:formatCode>
                <c:ptCount val="3"/>
                <c:pt idx="0">
                  <c:v>3.1</c:v>
                </c:pt>
                <c:pt idx="1">
                  <c:v>3.1</c:v>
                </c:pt>
                <c:pt idx="2">
                  <c:v>3.1</c:v>
                </c:pt>
              </c:numCache>
            </c:numRef>
          </c:xVal>
          <c:yVal>
            <c:numRef>
              <c:f>Pairwise!$L$24:$L$26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0661-4A16-9DCA-421717710FB8}"/>
            </c:ext>
          </c:extLst>
        </c:ser>
        <c:ser>
          <c:idx val="5"/>
          <c:order val="5"/>
          <c:tx>
            <c:v>CIFour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0661-4A16-9DCA-421717710FB8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0661-4A16-9DCA-421717710FB8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Pairwise!$K$27:$K$29</c:f>
              <c:numCache>
                <c:formatCode>0.000</c:formatCode>
                <c:ptCount val="3"/>
                <c:pt idx="0">
                  <c:v>4.0999999999999996</c:v>
                </c:pt>
                <c:pt idx="1">
                  <c:v>4.0999999999999996</c:v>
                </c:pt>
                <c:pt idx="2">
                  <c:v>4.0999999999999996</c:v>
                </c:pt>
              </c:numCache>
            </c:numRef>
          </c:xVal>
          <c:yVal>
            <c:numRef>
              <c:f>Pairwise!$L$27:$L$29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0661-4A16-9DCA-421717710FB8}"/>
            </c:ext>
          </c:extLst>
        </c:ser>
        <c:ser>
          <c:idx val="6"/>
          <c:order val="6"/>
          <c:tx>
            <c:v>CIFive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A-0661-4A16-9DCA-421717710FB8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0661-4A16-9DCA-421717710FB8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Pairwise!$K$30:$K$32</c:f>
              <c:numCache>
                <c:formatCode>0.000</c:formatCode>
                <c:ptCount val="3"/>
                <c:pt idx="0">
                  <c:v>5.0999999999999996</c:v>
                </c:pt>
                <c:pt idx="1">
                  <c:v>5.0999999999999996</c:v>
                </c:pt>
                <c:pt idx="2">
                  <c:v>5.0999999999999996</c:v>
                </c:pt>
              </c:numCache>
            </c:numRef>
          </c:xVal>
          <c:yVal>
            <c:numRef>
              <c:f>Pairwise!$L$30:$L$32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0661-4A16-9DCA-421717710FB8}"/>
            </c:ext>
          </c:extLst>
        </c:ser>
        <c:ser>
          <c:idx val="7"/>
          <c:order val="7"/>
          <c:tx>
            <c:v>CISix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0661-4A16-9DCA-421717710FB8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C-0661-4A16-9DCA-421717710FB8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Pairwise!$K$33:$K$35</c:f>
              <c:numCache>
                <c:formatCode>0.000</c:formatCode>
                <c:ptCount val="3"/>
                <c:pt idx="0">
                  <c:v>6.1</c:v>
                </c:pt>
                <c:pt idx="1">
                  <c:v>6.1</c:v>
                </c:pt>
                <c:pt idx="2">
                  <c:v>6.1</c:v>
                </c:pt>
              </c:numCache>
            </c:numRef>
          </c:xVal>
          <c:yVal>
            <c:numRef>
              <c:f>Pairwise!$L$33:$L$35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0661-4A16-9DCA-421717710F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384832"/>
        <c:axId val="111403008"/>
      </c:scatterChart>
      <c:catAx>
        <c:axId val="111384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Pairwise Comparison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crossAx val="111403008"/>
        <c:crosses val="autoZero"/>
        <c:auto val="1"/>
        <c:lblAlgn val="ctr"/>
        <c:lblOffset val="100"/>
        <c:noMultiLvlLbl val="0"/>
      </c:catAx>
      <c:valAx>
        <c:axId val="11140300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 baseline="0"/>
                  <a:t>Standardized Differences (and CIs)</a:t>
                </a:r>
                <a:endParaRPr lang="en-US" sz="1200"/>
              </a:p>
            </c:rich>
          </c:tx>
          <c:layout>
            <c:manualLayout>
              <c:xMode val="edge"/>
              <c:yMode val="edge"/>
              <c:x val="1.1111111111111101E-2"/>
              <c:y val="0.14891404199475114"/>
            </c:manualLayout>
          </c:layout>
          <c:overlay val="0"/>
        </c:title>
        <c:numFmt formatCode="General" sourceLinked="1"/>
        <c:majorTickMark val="out"/>
        <c:minorTickMark val="out"/>
        <c:tickLblPos val="nextTo"/>
        <c:crossAx val="11138483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</xdr:colOff>
      <xdr:row>14</xdr:row>
      <xdr:rowOff>180974</xdr:rowOff>
    </xdr:from>
    <xdr:to>
      <xdr:col>8</xdr:col>
      <xdr:colOff>15240</xdr:colOff>
      <xdr:row>35</xdr:row>
      <xdr:rowOff>26669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302895</xdr:colOff>
      <xdr:row>14</xdr:row>
      <xdr:rowOff>127634</xdr:rowOff>
    </xdr:from>
    <xdr:to>
      <xdr:col>17</xdr:col>
      <xdr:colOff>9525</xdr:colOff>
      <xdr:row>34</xdr:row>
      <xdr:rowOff>163829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15</xdr:row>
      <xdr:rowOff>3807</xdr:rowOff>
    </xdr:from>
    <xdr:to>
      <xdr:col>8</xdr:col>
      <xdr:colOff>47625</xdr:colOff>
      <xdr:row>35</xdr:row>
      <xdr:rowOff>40002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9525</xdr:colOff>
      <xdr:row>15</xdr:row>
      <xdr:rowOff>15237</xdr:rowOff>
    </xdr:from>
    <xdr:to>
      <xdr:col>17</xdr:col>
      <xdr:colOff>20955</xdr:colOff>
      <xdr:row>35</xdr:row>
      <xdr:rowOff>47622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D4CDFAA-A948-4487-96BC-2C60D708C8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293370</xdr:colOff>
      <xdr:row>14</xdr:row>
      <xdr:rowOff>184785</xdr:rowOff>
    </xdr:from>
    <xdr:to>
      <xdr:col>8</xdr:col>
      <xdr:colOff>1905</xdr:colOff>
      <xdr:row>35</xdr:row>
      <xdr:rowOff>20955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266700</xdr:colOff>
      <xdr:row>14</xdr:row>
      <xdr:rowOff>180974</xdr:rowOff>
    </xdr:from>
    <xdr:to>
      <xdr:col>16</xdr:col>
      <xdr:colOff>716280</xdr:colOff>
      <xdr:row>35</xdr:row>
      <xdr:rowOff>17144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ocuments%20and%20Settings/cwendorf/My%20Documents/Research/Statistics/Comparing%20CIs/Analyses/Final%20Version/Table13.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wendorf/Documents/Research/Statistics/EASE/Relational%20Intervals/ARISE(D)-OneWay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cwendorf_uwsp_edu/Documents/EASE/Relational%20Intervals/ARISE(D)-OneWa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heory"/>
      <sheetName val="Data"/>
      <sheetName val="Analysis"/>
    </sheetNames>
    <sheetDataSet>
      <sheetData sheetId="0" refreshError="1"/>
      <sheetData sheetId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Data"/>
      <sheetName val="Analyses"/>
    </sheetNames>
    <sheetDataSet>
      <sheetData sheetId="0" refreshError="1"/>
      <sheetData sheetId="1">
        <row r="4">
          <cell r="S4" t="str">
            <v>One</v>
          </cell>
        </row>
      </sheetData>
      <sheetData sheetId="2">
        <row r="5">
          <cell r="C5">
            <v>67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Data"/>
      <sheetName val="Analyses"/>
    </sheetNames>
    <sheetDataSet>
      <sheetData sheetId="0"/>
      <sheetData sheetId="1"/>
      <sheetData sheetId="2">
        <row r="5">
          <cell r="C5">
            <v>67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cwendorf@uwsp.edu" TargetMode="External"/><Relationship Id="rId2" Type="http://schemas.openxmlformats.org/officeDocument/2006/relationships/hyperlink" Target="https://github.com/cwendorf/BASE/tree/main/EASE" TargetMode="External"/><Relationship Id="rId1" Type="http://schemas.openxmlformats.org/officeDocument/2006/relationships/hyperlink" Target="http://cwendorf.github.io/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B2:Q33"/>
  <sheetViews>
    <sheetView tabSelected="1" showRuler="0" topLeftCell="B1" zoomScaleNormal="100" workbookViewId="0">
      <selection activeCell="K4" sqref="K4:Q4"/>
    </sheetView>
  </sheetViews>
  <sheetFormatPr defaultColWidth="11.109375" defaultRowHeight="15" customHeight="1" x14ac:dyDescent="0.3"/>
  <cols>
    <col min="1" max="1" width="4.5546875" style="3" customWidth="1"/>
    <col min="2" max="8" width="11.109375" style="3"/>
    <col min="9" max="10" width="4.5546875" style="3" customWidth="1"/>
    <col min="11" max="17" width="11.109375" style="3"/>
    <col min="18" max="19" width="4.5546875" style="3" customWidth="1"/>
    <col min="20" max="16384" width="11.109375" style="3"/>
  </cols>
  <sheetData>
    <row r="2" spans="2:17" ht="18" customHeight="1" x14ac:dyDescent="0.35">
      <c r="B2" s="115" t="s">
        <v>124</v>
      </c>
      <c r="C2" s="115"/>
      <c r="D2" s="115"/>
      <c r="E2" s="115"/>
      <c r="F2" s="115"/>
      <c r="G2" s="115"/>
      <c r="H2" s="115"/>
      <c r="I2" s="92"/>
      <c r="J2" s="92"/>
      <c r="K2" s="116" t="s">
        <v>88</v>
      </c>
      <c r="L2" s="116"/>
      <c r="M2" s="116"/>
      <c r="N2" s="116"/>
      <c r="O2" s="116"/>
      <c r="P2" s="116"/>
      <c r="Q2" s="116"/>
    </row>
    <row r="3" spans="2:17" ht="18" customHeight="1" x14ac:dyDescent="0.35">
      <c r="B3" s="117" t="s">
        <v>39</v>
      </c>
      <c r="C3" s="117"/>
      <c r="D3" s="117"/>
      <c r="E3" s="117"/>
      <c r="F3" s="117"/>
      <c r="G3" s="117"/>
      <c r="H3" s="117"/>
      <c r="I3" s="94"/>
      <c r="J3" s="94"/>
      <c r="K3" s="117" t="s">
        <v>130</v>
      </c>
      <c r="L3" s="117"/>
      <c r="M3" s="117"/>
      <c r="N3" s="117"/>
      <c r="O3" s="117"/>
      <c r="P3" s="117"/>
      <c r="Q3" s="117"/>
    </row>
    <row r="4" spans="2:17" s="94" customFormat="1" ht="18" customHeight="1" x14ac:dyDescent="0.35">
      <c r="B4" s="117" t="s">
        <v>38</v>
      </c>
      <c r="C4" s="117"/>
      <c r="D4" s="117"/>
      <c r="E4" s="117"/>
      <c r="F4" s="117"/>
      <c r="G4" s="117"/>
      <c r="H4" s="117"/>
      <c r="K4" s="118" t="s">
        <v>129</v>
      </c>
      <c r="L4" s="117"/>
      <c r="M4" s="117"/>
      <c r="N4" s="117"/>
      <c r="O4" s="117"/>
      <c r="P4" s="117"/>
      <c r="Q4" s="117"/>
    </row>
    <row r="6" spans="2:17" ht="15" customHeight="1" x14ac:dyDescent="0.3">
      <c r="B6" s="6" t="s">
        <v>89</v>
      </c>
      <c r="K6" s="6" t="s">
        <v>90</v>
      </c>
    </row>
    <row r="8" spans="2:17" ht="15" customHeight="1" x14ac:dyDescent="0.3">
      <c r="B8" s="3" t="s">
        <v>102</v>
      </c>
      <c r="K8" s="3" t="s">
        <v>24</v>
      </c>
    </row>
    <row r="9" spans="2:17" ht="15" customHeight="1" x14ac:dyDescent="0.3">
      <c r="B9" s="3" t="s">
        <v>105</v>
      </c>
      <c r="K9" s="3" t="s">
        <v>35</v>
      </c>
    </row>
    <row r="10" spans="2:17" ht="15" customHeight="1" x14ac:dyDescent="0.3">
      <c r="B10" s="3" t="s">
        <v>111</v>
      </c>
      <c r="K10" s="3" t="s">
        <v>34</v>
      </c>
    </row>
    <row r="11" spans="2:17" ht="15" customHeight="1" x14ac:dyDescent="0.3">
      <c r="B11" s="3" t="s">
        <v>121</v>
      </c>
    </row>
    <row r="13" spans="2:17" ht="15" customHeight="1" x14ac:dyDescent="0.3">
      <c r="B13" s="6" t="s">
        <v>91</v>
      </c>
      <c r="K13" s="6" t="s">
        <v>92</v>
      </c>
    </row>
    <row r="14" spans="2:17" ht="15" customHeight="1" x14ac:dyDescent="0.3">
      <c r="K14"/>
    </row>
    <row r="15" spans="2:17" ht="15" customHeight="1" x14ac:dyDescent="0.3">
      <c r="B15" s="3" t="s">
        <v>9</v>
      </c>
      <c r="K15" t="s">
        <v>108</v>
      </c>
    </row>
    <row r="16" spans="2:17" ht="15" customHeight="1" x14ac:dyDescent="0.3">
      <c r="B16" s="3" t="s">
        <v>107</v>
      </c>
      <c r="K16" t="s">
        <v>48</v>
      </c>
    </row>
    <row r="17" spans="2:17" ht="15" customHeight="1" x14ac:dyDescent="0.3">
      <c r="B17" s="3" t="s">
        <v>103</v>
      </c>
      <c r="K17" t="s">
        <v>93</v>
      </c>
    </row>
    <row r="18" spans="2:17" ht="15" customHeight="1" x14ac:dyDescent="0.3">
      <c r="B18" s="3" t="s">
        <v>104</v>
      </c>
      <c r="K18" s="93" t="s">
        <v>106</v>
      </c>
    </row>
    <row r="20" spans="2:17" ht="15" customHeight="1" x14ac:dyDescent="0.3">
      <c r="B20" s="6" t="s">
        <v>94</v>
      </c>
      <c r="K20" s="6" t="s">
        <v>5</v>
      </c>
    </row>
    <row r="22" spans="2:17" ht="15" customHeight="1" x14ac:dyDescent="0.3">
      <c r="B22" s="3" t="s">
        <v>95</v>
      </c>
      <c r="C22" s="3" t="s">
        <v>8</v>
      </c>
      <c r="K22" s="3" t="s">
        <v>66</v>
      </c>
      <c r="L22"/>
      <c r="M22"/>
      <c r="N22"/>
      <c r="O22"/>
      <c r="Q22"/>
    </row>
    <row r="23" spans="2:17" ht="15" customHeight="1" x14ac:dyDescent="0.3">
      <c r="B23" s="3" t="s">
        <v>96</v>
      </c>
      <c r="C23" s="3" t="s">
        <v>44</v>
      </c>
      <c r="K23" s="3" t="s">
        <v>6</v>
      </c>
      <c r="L23"/>
      <c r="M23"/>
      <c r="N23"/>
      <c r="O23"/>
      <c r="Q23"/>
    </row>
    <row r="24" spans="2:17" ht="15" customHeight="1" x14ac:dyDescent="0.3">
      <c r="B24" s="3" t="s">
        <v>100</v>
      </c>
      <c r="C24" s="3" t="s">
        <v>45</v>
      </c>
      <c r="K24" s="3" t="s">
        <v>7</v>
      </c>
      <c r="L24"/>
      <c r="M24"/>
      <c r="N24"/>
      <c r="O24"/>
      <c r="Q24"/>
    </row>
    <row r="25" spans="2:17" ht="15" customHeight="1" x14ac:dyDescent="0.3">
      <c r="B25" s="3" t="s">
        <v>123</v>
      </c>
      <c r="C25" s="3" t="s">
        <v>110</v>
      </c>
      <c r="K25" s="114" t="s">
        <v>126</v>
      </c>
      <c r="L25"/>
      <c r="M25"/>
      <c r="N25"/>
      <c r="O25"/>
      <c r="Q25"/>
    </row>
    <row r="26" spans="2:17" ht="15" customHeight="1" x14ac:dyDescent="0.3">
      <c r="B26" s="3" t="s">
        <v>101</v>
      </c>
      <c r="C26" s="3" t="s">
        <v>10</v>
      </c>
      <c r="K26" s="114" t="s">
        <v>127</v>
      </c>
      <c r="L26"/>
      <c r="M26"/>
      <c r="N26"/>
      <c r="O26"/>
      <c r="Q26"/>
    </row>
    <row r="27" spans="2:17" ht="15" customHeight="1" x14ac:dyDescent="0.3">
      <c r="L27"/>
      <c r="M27"/>
      <c r="N27"/>
      <c r="O27"/>
      <c r="P27"/>
      <c r="Q27"/>
    </row>
    <row r="28" spans="2:17" ht="15" customHeight="1" x14ac:dyDescent="0.3">
      <c r="B28" s="6" t="s">
        <v>122</v>
      </c>
      <c r="K28" s="6" t="s">
        <v>125</v>
      </c>
      <c r="L28"/>
      <c r="M28"/>
      <c r="N28"/>
      <c r="O28"/>
      <c r="P28"/>
      <c r="Q28"/>
    </row>
    <row r="29" spans="2:17" ht="15" customHeight="1" x14ac:dyDescent="0.3">
      <c r="B29" s="25"/>
      <c r="L29"/>
      <c r="M29"/>
      <c r="N29"/>
      <c r="O29"/>
      <c r="P29"/>
      <c r="Q29"/>
    </row>
    <row r="30" spans="2:17" ht="15" customHeight="1" x14ac:dyDescent="0.3">
      <c r="B30" s="25" t="s">
        <v>97</v>
      </c>
      <c r="K30" s="3" t="s">
        <v>131</v>
      </c>
      <c r="L30"/>
      <c r="M30"/>
      <c r="N30"/>
      <c r="O30"/>
      <c r="P30"/>
      <c r="Q30"/>
    </row>
    <row r="31" spans="2:17" ht="15" customHeight="1" x14ac:dyDescent="0.3">
      <c r="B31" s="25" t="s">
        <v>98</v>
      </c>
      <c r="K31" s="3" t="s">
        <v>128</v>
      </c>
      <c r="L31"/>
      <c r="M31"/>
      <c r="N31"/>
      <c r="O31"/>
      <c r="P31"/>
      <c r="Q31"/>
    </row>
    <row r="32" spans="2:17" ht="15" customHeight="1" x14ac:dyDescent="0.3">
      <c r="B32" s="25" t="s">
        <v>99</v>
      </c>
      <c r="K32" s="3" t="s">
        <v>129</v>
      </c>
      <c r="L32"/>
      <c r="M32"/>
      <c r="N32"/>
      <c r="O32"/>
      <c r="P32"/>
      <c r="Q32"/>
    </row>
    <row r="33" spans="12:17" ht="15" customHeight="1" x14ac:dyDescent="0.3">
      <c r="L33"/>
      <c r="M33"/>
      <c r="N33"/>
      <c r="O33"/>
      <c r="P33"/>
      <c r="Q33"/>
    </row>
  </sheetData>
  <sheetProtection sheet="1"/>
  <mergeCells count="6">
    <mergeCell ref="B2:H2"/>
    <mergeCell ref="K2:Q2"/>
    <mergeCell ref="B3:H3"/>
    <mergeCell ref="K3:Q3"/>
    <mergeCell ref="B4:H4"/>
    <mergeCell ref="K4:Q4"/>
  </mergeCells>
  <hyperlinks>
    <hyperlink ref="K26" r:id="rId1" xr:uid="{00000000-0004-0000-0000-000000000000}"/>
    <hyperlink ref="K4" r:id="rId2" xr:uid="{00000000-0004-0000-0000-000001000000}"/>
    <hyperlink ref="K25" r:id="rId3" xr:uid="{A73D6330-88C6-48CA-AE84-A1C0A8CC8449}"/>
  </hyperlinks>
  <pageMargins left="0.7" right="0.7" top="0.7" bottom="0.7" header="0.3" footer="0.3"/>
  <pageSetup orientation="portrait" r:id="rId4"/>
  <headerFooter>
    <oddHeader>&amp;LEASE: Estimation Approach to Statistics with Excel&amp;RDesign: Single Factor, Between-Subjects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B1:Y43"/>
  <sheetViews>
    <sheetView showRuler="0" zoomScaleNormal="100" workbookViewId="0">
      <selection activeCell="K11" sqref="K11"/>
    </sheetView>
  </sheetViews>
  <sheetFormatPr defaultColWidth="11.109375" defaultRowHeight="14.4" x14ac:dyDescent="0.3"/>
  <cols>
    <col min="1" max="1" width="4.5546875" customWidth="1"/>
    <col min="6" max="6" width="11.109375" style="12"/>
    <col min="9" max="10" width="4.5546875" customWidth="1"/>
    <col min="11" max="13" width="18.5546875" style="18" customWidth="1"/>
    <col min="16" max="16" width="4.5546875" customWidth="1"/>
    <col min="17" max="17" width="4.5546875" hidden="1" customWidth="1"/>
    <col min="18" max="24" width="11.109375" hidden="1" customWidth="1"/>
    <col min="25" max="25" width="4.5546875" hidden="1" customWidth="1"/>
  </cols>
  <sheetData>
    <row r="1" spans="2:24" x14ac:dyDescent="0.3">
      <c r="F1"/>
      <c r="K1" s="12"/>
      <c r="L1"/>
      <c r="M1"/>
    </row>
    <row r="2" spans="2:24" ht="15" customHeight="1" x14ac:dyDescent="0.3">
      <c r="B2" s="122" t="s">
        <v>33</v>
      </c>
      <c r="C2" s="122"/>
      <c r="D2" s="122"/>
      <c r="E2" s="122"/>
      <c r="F2" s="122"/>
      <c r="G2" s="122"/>
      <c r="H2" s="122"/>
      <c r="K2" s="122" t="s">
        <v>26</v>
      </c>
      <c r="L2" s="122"/>
      <c r="M2" s="122"/>
      <c r="N2" s="91"/>
      <c r="O2" s="91"/>
      <c r="R2" s="122" t="s">
        <v>64</v>
      </c>
      <c r="S2" s="122"/>
      <c r="T2" s="122"/>
      <c r="U2" s="122"/>
      <c r="V2" s="122"/>
      <c r="W2" s="122"/>
      <c r="X2" s="122"/>
    </row>
    <row r="3" spans="2:24" ht="18.600000000000001" thickBot="1" x14ac:dyDescent="0.4">
      <c r="E3" s="1"/>
      <c r="K3" s="12"/>
      <c r="L3" s="5"/>
      <c r="M3" s="5"/>
    </row>
    <row r="4" spans="2:24" ht="16.2" thickBot="1" x14ac:dyDescent="0.35">
      <c r="B4" s="6" t="s">
        <v>33</v>
      </c>
      <c r="F4"/>
      <c r="K4" s="48" t="s">
        <v>32</v>
      </c>
      <c r="L4" s="48" t="str">
        <f>IF(B22="","",B22)</f>
        <v/>
      </c>
      <c r="M4" s="48" t="str">
        <f>IF(B23="","",B23)</f>
        <v/>
      </c>
      <c r="R4" s="46" t="s">
        <v>61</v>
      </c>
    </row>
    <row r="5" spans="2:24" ht="15" thickBot="1" x14ac:dyDescent="0.35">
      <c r="K5" s="17"/>
      <c r="L5" s="17"/>
    </row>
    <row r="6" spans="2:24" ht="15" thickBot="1" x14ac:dyDescent="0.35">
      <c r="B6" s="126" t="s">
        <v>30</v>
      </c>
      <c r="C6" s="126"/>
      <c r="D6" s="126"/>
      <c r="E6" s="126"/>
      <c r="F6" s="126"/>
      <c r="G6" s="126"/>
      <c r="H6" s="126"/>
      <c r="R6" s="51" t="s">
        <v>62</v>
      </c>
      <c r="S6" s="51" t="s">
        <v>0</v>
      </c>
      <c r="T6" s="51" t="s">
        <v>1</v>
      </c>
      <c r="U6" s="51" t="s">
        <v>13</v>
      </c>
      <c r="V6" s="51" t="s">
        <v>68</v>
      </c>
      <c r="W6" s="51" t="s">
        <v>2</v>
      </c>
      <c r="X6" s="51" t="s">
        <v>84</v>
      </c>
    </row>
    <row r="7" spans="2:24" x14ac:dyDescent="0.3">
      <c r="B7" s="129"/>
      <c r="C7" s="129"/>
      <c r="D7" s="129"/>
      <c r="E7" s="129"/>
      <c r="F7" s="129"/>
      <c r="G7" s="129"/>
      <c r="H7" s="129"/>
      <c r="R7" s="53" t="str">
        <f>IF($B$26="","",$B$26)</f>
        <v/>
      </c>
      <c r="S7" s="53">
        <v>1</v>
      </c>
      <c r="T7" s="19" t="str">
        <f>IF(COUNTIF($L:$L,$S7)=0,"",COUNTIF($L:$L,$S7))</f>
        <v/>
      </c>
      <c r="U7" s="20" t="str">
        <f>IFERROR(AVERAGEIFS($M:$M,$L:$L,$S7),"")</f>
        <v/>
      </c>
      <c r="V7" s="20" t="str">
        <f t="array" ref="V7">IFERROR(STDEV(IF($L:$L=$S7,$M:$M)),"")</f>
        <v/>
      </c>
      <c r="W7" s="19" t="str">
        <f>IFERROR(T7-1,"")</f>
        <v/>
      </c>
      <c r="X7" s="27" t="str">
        <f>IFERROR(V7/SQRT(T7),"")</f>
        <v/>
      </c>
    </row>
    <row r="8" spans="2:24" ht="15" thickBot="1" x14ac:dyDescent="0.35">
      <c r="B8" s="130"/>
      <c r="C8" s="130"/>
      <c r="D8" s="130"/>
      <c r="E8" s="130"/>
      <c r="F8" s="130"/>
      <c r="G8" s="130"/>
      <c r="H8" s="130"/>
      <c r="R8" s="55" t="str">
        <f>IF($B$27="","",$B$27)</f>
        <v/>
      </c>
      <c r="S8" s="55">
        <v>2</v>
      </c>
      <c r="T8" s="21" t="str">
        <f>IF(COUNTIF($L:$L,$S8)=0,"",COUNTIF($L:$L,$S8))</f>
        <v/>
      </c>
      <c r="U8" s="22" t="str">
        <f>IFERROR(AVERAGEIFS($M:$M,$L:$L,$S8),"")</f>
        <v/>
      </c>
      <c r="V8" s="22" t="str">
        <f t="array" ref="V8">IFERROR(STDEV(IF($L:$L=$S8,$M:$M)),"")</f>
        <v/>
      </c>
      <c r="W8" s="21" t="str">
        <f>IFERROR(T8-1,"")</f>
        <v/>
      </c>
      <c r="X8" s="29" t="str">
        <f>IFERROR(V8/SQRT(T8),"")</f>
        <v/>
      </c>
    </row>
    <row r="9" spans="2:24" ht="15" thickBot="1" x14ac:dyDescent="0.35">
      <c r="B9" s="7"/>
      <c r="C9" s="7"/>
      <c r="D9" s="7"/>
      <c r="E9" s="7"/>
      <c r="F9" s="33"/>
      <c r="G9" s="7"/>
      <c r="H9" s="7"/>
      <c r="R9" s="55" t="str">
        <f>IF($B$28="","",$B$28)</f>
        <v/>
      </c>
      <c r="S9" s="55">
        <v>3</v>
      </c>
      <c r="T9" s="21" t="str">
        <f>IF(COUNTIF($L:$L,$S9)=0,"",COUNTIF($L:$L,$S9))</f>
        <v/>
      </c>
      <c r="U9" s="22" t="str">
        <f>IFERROR(AVERAGEIFS($M:$M,$L:$L,$S9),"")</f>
        <v/>
      </c>
      <c r="V9" s="22" t="str">
        <f t="array" ref="V9">IFERROR(STDEV(IF($L:$L=$S9,$M:$M)),"")</f>
        <v/>
      </c>
      <c r="W9" s="21" t="str">
        <f>IFERROR(T9-1,"")</f>
        <v/>
      </c>
      <c r="X9" s="29" t="str">
        <f>IFERROR(V9/SQRT(T9),"")</f>
        <v/>
      </c>
    </row>
    <row r="10" spans="2:24" ht="15" thickBot="1" x14ac:dyDescent="0.35">
      <c r="B10" s="128" t="s">
        <v>31</v>
      </c>
      <c r="C10" s="128"/>
      <c r="D10" s="128"/>
      <c r="E10" s="128"/>
      <c r="F10" s="128"/>
      <c r="G10" s="128"/>
      <c r="H10" s="128"/>
      <c r="R10" s="55" t="str">
        <f>IF($B$29="","",$B$29)</f>
        <v/>
      </c>
      <c r="S10" s="55">
        <v>4</v>
      </c>
      <c r="T10" s="21" t="str">
        <f>IF(COUNTIF($L:$L,$S10)=0,"",COUNTIF($L:$L,$S10))</f>
        <v/>
      </c>
      <c r="U10" s="22" t="str">
        <f>IFERROR(AVERAGEIFS($M:$M,$L:$L,$S10),"")</f>
        <v/>
      </c>
      <c r="V10" s="22" t="str">
        <f t="array" ref="V10">IFERROR(STDEV(IF($L:$L=$S10,$M:$M)),"")</f>
        <v/>
      </c>
      <c r="W10" s="21" t="str">
        <f>IFERROR(T10-1,"")</f>
        <v/>
      </c>
      <c r="X10" s="29" t="str">
        <f>IFERROR(V10/SQRT(T10),"")</f>
        <v/>
      </c>
    </row>
    <row r="11" spans="2:24" ht="15" thickBot="1" x14ac:dyDescent="0.35">
      <c r="B11" s="123"/>
      <c r="C11" s="123"/>
      <c r="D11" s="123"/>
      <c r="E11" s="123"/>
      <c r="F11" s="123"/>
      <c r="G11" s="123"/>
      <c r="H11" s="123"/>
      <c r="R11" s="57" t="s">
        <v>51</v>
      </c>
      <c r="S11" s="57" t="s">
        <v>51</v>
      </c>
      <c r="T11" s="23">
        <f>IFERROR(COUNT($L:$L),"")</f>
        <v>0</v>
      </c>
      <c r="U11" s="24" t="str">
        <f>IFERROR(AVERAGE($M:$M),"")</f>
        <v/>
      </c>
      <c r="V11" s="24" t="str">
        <f>IFERROR(STDEV($M:$M),"")</f>
        <v/>
      </c>
      <c r="W11" s="23">
        <f>IFERROR(T11-1,"")</f>
        <v>-1</v>
      </c>
      <c r="X11" s="30" t="str">
        <f>IFERROR(V11/SQRT(T11),"")</f>
        <v/>
      </c>
    </row>
    <row r="12" spans="2:24" x14ac:dyDescent="0.3">
      <c r="B12" s="124"/>
      <c r="C12" s="124"/>
      <c r="D12" s="124"/>
      <c r="E12" s="124"/>
      <c r="F12" s="124"/>
      <c r="G12" s="124"/>
      <c r="H12" s="124"/>
      <c r="R12" s="8"/>
      <c r="S12" s="8"/>
      <c r="T12" s="8"/>
      <c r="U12" s="8"/>
      <c r="V12" s="8"/>
      <c r="W12" s="8"/>
      <c r="X12" s="8"/>
    </row>
    <row r="13" spans="2:24" x14ac:dyDescent="0.3">
      <c r="B13" s="124"/>
      <c r="C13" s="124"/>
      <c r="D13" s="124"/>
      <c r="E13" s="124"/>
      <c r="F13" s="124"/>
      <c r="G13" s="124"/>
      <c r="H13" s="124"/>
      <c r="R13" t="s">
        <v>63</v>
      </c>
    </row>
    <row r="14" spans="2:24" ht="15" thickBot="1" x14ac:dyDescent="0.35">
      <c r="B14" s="125"/>
      <c r="C14" s="125"/>
      <c r="D14" s="125"/>
      <c r="E14" s="125"/>
      <c r="F14" s="125"/>
      <c r="G14" s="125"/>
      <c r="H14" s="125"/>
    </row>
    <row r="19" spans="2:24" ht="15.6" x14ac:dyDescent="0.3">
      <c r="B19" s="6" t="s">
        <v>42</v>
      </c>
      <c r="C19" s="11"/>
      <c r="D19" s="12"/>
      <c r="E19" s="12"/>
      <c r="G19" s="12"/>
      <c r="H19" s="13"/>
      <c r="R19" s="46" t="s">
        <v>72</v>
      </c>
      <c r="W19" s="12"/>
      <c r="X19" s="28"/>
    </row>
    <row r="20" spans="2:24" ht="15" thickBot="1" x14ac:dyDescent="0.35">
      <c r="B20" s="11"/>
      <c r="C20" s="11"/>
      <c r="D20" s="12"/>
      <c r="E20" s="12"/>
      <c r="G20" s="12"/>
      <c r="H20" s="12"/>
    </row>
    <row r="21" spans="2:24" ht="15" thickBot="1" x14ac:dyDescent="0.35">
      <c r="B21" s="126" t="s">
        <v>29</v>
      </c>
      <c r="C21" s="126"/>
      <c r="D21" s="127" t="s">
        <v>27</v>
      </c>
      <c r="E21" s="127"/>
      <c r="F21" s="127"/>
      <c r="G21" s="127"/>
      <c r="H21" s="9" t="s">
        <v>28</v>
      </c>
      <c r="R21" s="51" t="s">
        <v>62</v>
      </c>
      <c r="S21" s="50"/>
      <c r="T21" s="51" t="s">
        <v>73</v>
      </c>
      <c r="U21" s="51">
        <v>1</v>
      </c>
      <c r="V21" s="51">
        <v>2</v>
      </c>
      <c r="W21" s="51">
        <v>3</v>
      </c>
      <c r="X21" s="51">
        <v>4</v>
      </c>
    </row>
    <row r="22" spans="2:24" x14ac:dyDescent="0.3">
      <c r="B22" s="120"/>
      <c r="C22" s="120"/>
      <c r="D22" s="120"/>
      <c r="E22" s="120"/>
      <c r="F22" s="120"/>
      <c r="G22" s="120"/>
      <c r="H22" s="75"/>
      <c r="R22" s="53"/>
      <c r="S22" s="52"/>
      <c r="T22" s="53"/>
      <c r="U22" s="27">
        <v>1</v>
      </c>
      <c r="V22" s="78"/>
      <c r="W22" s="78"/>
      <c r="X22" s="78"/>
    </row>
    <row r="23" spans="2:24" ht="15" thickBot="1" x14ac:dyDescent="0.35">
      <c r="B23" s="119"/>
      <c r="C23" s="119"/>
      <c r="D23" s="119"/>
      <c r="E23" s="119"/>
      <c r="F23" s="119"/>
      <c r="G23" s="119"/>
      <c r="H23" s="76"/>
      <c r="R23" s="55"/>
      <c r="S23" s="54"/>
      <c r="T23" s="55"/>
      <c r="U23" s="29"/>
      <c r="V23" s="29">
        <v>1</v>
      </c>
      <c r="W23" s="79"/>
      <c r="X23" s="79"/>
    </row>
    <row r="24" spans="2:24" ht="15" thickBot="1" x14ac:dyDescent="0.35">
      <c r="B24" s="10"/>
      <c r="C24" s="10"/>
      <c r="D24" s="10"/>
      <c r="E24" s="10"/>
      <c r="F24" s="10"/>
      <c r="G24" s="10"/>
      <c r="H24" s="10"/>
      <c r="R24" s="55"/>
      <c r="S24" s="54"/>
      <c r="T24" s="55"/>
      <c r="U24" s="29"/>
      <c r="V24" s="29"/>
      <c r="W24" s="29">
        <v>1</v>
      </c>
      <c r="X24" s="79"/>
    </row>
    <row r="25" spans="2:24" ht="15" thickBot="1" x14ac:dyDescent="0.35">
      <c r="B25" s="71" t="str">
        <f>IF(B22="","",B22)</f>
        <v/>
      </c>
      <c r="C25" s="71"/>
      <c r="D25" s="70" t="s">
        <v>27</v>
      </c>
      <c r="E25" s="70"/>
      <c r="F25" s="70"/>
      <c r="G25" s="70"/>
      <c r="H25" s="9" t="s">
        <v>28</v>
      </c>
      <c r="R25" s="57"/>
      <c r="S25" s="56"/>
      <c r="T25" s="57"/>
      <c r="U25" s="30"/>
      <c r="V25" s="30"/>
      <c r="W25" s="30"/>
      <c r="X25" s="30">
        <v>1</v>
      </c>
    </row>
    <row r="26" spans="2:24" x14ac:dyDescent="0.3">
      <c r="B26" s="120"/>
      <c r="C26" s="120"/>
      <c r="D26" s="120"/>
      <c r="E26" s="120"/>
      <c r="F26" s="120"/>
      <c r="G26" s="120"/>
      <c r="H26" s="75"/>
      <c r="R26" s="8"/>
      <c r="S26" s="8"/>
      <c r="T26" s="8"/>
      <c r="U26" s="8"/>
      <c r="V26" s="8"/>
      <c r="W26" s="8"/>
      <c r="X26" s="8"/>
    </row>
    <row r="27" spans="2:24" x14ac:dyDescent="0.3">
      <c r="B27" s="121"/>
      <c r="C27" s="121"/>
      <c r="D27" s="121"/>
      <c r="E27" s="121"/>
      <c r="F27" s="121"/>
      <c r="G27" s="121"/>
      <c r="H27" s="41"/>
      <c r="R27" t="s">
        <v>74</v>
      </c>
    </row>
    <row r="28" spans="2:24" x14ac:dyDescent="0.3">
      <c r="B28" s="121"/>
      <c r="C28" s="121"/>
      <c r="D28" s="121"/>
      <c r="E28" s="121"/>
      <c r="F28" s="121"/>
      <c r="G28" s="121"/>
      <c r="H28" s="41"/>
    </row>
    <row r="29" spans="2:24" ht="16.2" thickBot="1" x14ac:dyDescent="0.35">
      <c r="B29" s="119"/>
      <c r="C29" s="119"/>
      <c r="D29" s="119"/>
      <c r="E29" s="119"/>
      <c r="F29" s="119"/>
      <c r="G29" s="119"/>
      <c r="H29" s="76"/>
      <c r="R29" s="47" t="s">
        <v>54</v>
      </c>
      <c r="S29" s="45"/>
      <c r="T29" s="45"/>
      <c r="U29" s="45"/>
      <c r="V29" s="45"/>
      <c r="W29" s="45"/>
      <c r="X29" s="3"/>
    </row>
    <row r="30" spans="2:24" ht="15" thickBot="1" x14ac:dyDescent="0.35">
      <c r="B30" s="8"/>
      <c r="C30" s="8"/>
      <c r="D30" s="8"/>
      <c r="E30" s="8"/>
      <c r="F30" s="34"/>
      <c r="G30" s="8"/>
      <c r="H30" s="8"/>
      <c r="Q30" s="3"/>
      <c r="R30" s="45"/>
      <c r="S30" s="45"/>
      <c r="T30" s="45"/>
      <c r="U30" s="45"/>
      <c r="V30" s="45"/>
      <c r="W30" s="45"/>
      <c r="X30" s="3"/>
    </row>
    <row r="31" spans="2:24" ht="15" thickBot="1" x14ac:dyDescent="0.35">
      <c r="B31" s="35"/>
      <c r="C31" s="35"/>
      <c r="E31" s="35"/>
      <c r="F31" s="35"/>
      <c r="Q31" s="3"/>
      <c r="R31" s="60" t="s">
        <v>55</v>
      </c>
      <c r="S31" s="60" t="s">
        <v>56</v>
      </c>
      <c r="T31" s="60" t="s">
        <v>2</v>
      </c>
      <c r="U31" s="60" t="s">
        <v>57</v>
      </c>
      <c r="V31" s="60" t="s">
        <v>50</v>
      </c>
      <c r="W31" s="60" t="s">
        <v>52</v>
      </c>
      <c r="X31" s="60" t="s">
        <v>58</v>
      </c>
    </row>
    <row r="32" spans="2:24" x14ac:dyDescent="0.3">
      <c r="B32" s="35"/>
      <c r="C32" s="35"/>
      <c r="E32" s="35"/>
      <c r="F32" s="35"/>
      <c r="M32" s="17"/>
      <c r="Q32" s="3"/>
      <c r="R32" s="97" t="s">
        <v>59</v>
      </c>
      <c r="S32" s="27" t="e">
        <f>S34-S33</f>
        <v>#VALUE!</v>
      </c>
      <c r="T32" s="62">
        <f>IFERROR(T34-T33,"")</f>
        <v>-1</v>
      </c>
      <c r="U32" s="61" t="str">
        <f>IFERROR(S32/T32,"")</f>
        <v/>
      </c>
      <c r="V32" s="61" t="str">
        <f>IFERROR(U32/U33,"")</f>
        <v/>
      </c>
      <c r="W32" s="61" t="str">
        <f>IFERROR(IF(FDIST(V32,T32,T33)&lt;0.001,"&lt; 0.001",FDIST(V32,T32,T33)),"")</f>
        <v/>
      </c>
      <c r="X32" s="20" t="str">
        <f>IFERROR(S32/S34,"")</f>
        <v/>
      </c>
    </row>
    <row r="33" spans="2:24" x14ac:dyDescent="0.3">
      <c r="B33" s="35"/>
      <c r="C33" s="35"/>
      <c r="E33" s="35"/>
      <c r="F33" s="35"/>
      <c r="Q33" s="3"/>
      <c r="R33" s="98" t="s">
        <v>60</v>
      </c>
      <c r="S33" s="63">
        <f t="array" ref="S33">SUM(IF(T7:T10&lt;&gt;"",V7:V10^2*((T7:T10)-1),0))</f>
        <v>0</v>
      </c>
      <c r="T33" s="64">
        <f t="array" ref="T33">SUM(IF(T7:T10&lt;&gt;"",T7:T10-1))</f>
        <v>0</v>
      </c>
      <c r="U33" s="65" t="str">
        <f>IFERROR(S33/T33,"")</f>
        <v/>
      </c>
      <c r="V33" s="63"/>
      <c r="W33" s="66"/>
      <c r="X33" s="21"/>
    </row>
    <row r="34" spans="2:24" ht="15" thickBot="1" x14ac:dyDescent="0.35">
      <c r="B34" s="35"/>
      <c r="C34" s="35"/>
      <c r="E34" s="35"/>
      <c r="F34" s="35"/>
      <c r="Q34" s="3"/>
      <c r="R34" s="99" t="s">
        <v>49</v>
      </c>
      <c r="S34" s="67" t="e">
        <f>(V11^2)*(T11-1)</f>
        <v>#VALUE!</v>
      </c>
      <c r="T34" s="68">
        <f>T11-1</f>
        <v>-1</v>
      </c>
      <c r="U34" s="67" t="str">
        <f>IFERROR(S34/T34,"")</f>
        <v/>
      </c>
      <c r="V34" s="67"/>
      <c r="W34" s="67"/>
      <c r="X34" s="23"/>
    </row>
    <row r="35" spans="2:24" x14ac:dyDescent="0.3">
      <c r="B35" s="35"/>
      <c r="C35" s="35"/>
      <c r="E35" s="35"/>
      <c r="F35" s="35"/>
      <c r="Q35" s="3"/>
      <c r="R35" s="2"/>
      <c r="S35" s="2"/>
      <c r="T35" s="2"/>
      <c r="U35" s="2"/>
      <c r="V35" s="2"/>
      <c r="W35" s="2"/>
      <c r="X35" s="2"/>
    </row>
    <row r="36" spans="2:24" x14ac:dyDescent="0.3">
      <c r="B36" s="35"/>
      <c r="C36" s="35"/>
      <c r="E36" s="35"/>
      <c r="F36" s="35"/>
    </row>
    <row r="37" spans="2:24" x14ac:dyDescent="0.3">
      <c r="B37" s="35"/>
      <c r="C37" s="35"/>
      <c r="E37" s="35"/>
      <c r="F37" s="35"/>
    </row>
    <row r="38" spans="2:24" x14ac:dyDescent="0.3">
      <c r="B38" s="35"/>
      <c r="C38" s="35"/>
    </row>
    <row r="39" spans="2:24" x14ac:dyDescent="0.3">
      <c r="B39" s="35"/>
      <c r="C39" s="35"/>
    </row>
    <row r="40" spans="2:24" x14ac:dyDescent="0.3">
      <c r="B40" s="35"/>
      <c r="C40" s="35"/>
    </row>
    <row r="41" spans="2:24" x14ac:dyDescent="0.3">
      <c r="B41" s="35"/>
      <c r="C41" s="35"/>
    </row>
    <row r="42" spans="2:24" x14ac:dyDescent="0.3">
      <c r="B42" s="35"/>
      <c r="C42" s="35"/>
    </row>
    <row r="43" spans="2:24" x14ac:dyDescent="0.3">
      <c r="B43" s="35"/>
      <c r="C43" s="35"/>
    </row>
  </sheetData>
  <sheetProtection sheet="1" selectLockedCells="1" sort="0" autoFilter="0"/>
  <autoFilter ref="K4:M4" xr:uid="{00000000-0009-0000-0000-000001000000}"/>
  <mergeCells count="21">
    <mergeCell ref="B22:C22"/>
    <mergeCell ref="D22:G22"/>
    <mergeCell ref="B23:C23"/>
    <mergeCell ref="D23:G23"/>
    <mergeCell ref="R2:X2"/>
    <mergeCell ref="B11:H14"/>
    <mergeCell ref="B21:C21"/>
    <mergeCell ref="D21:G21"/>
    <mergeCell ref="K2:M2"/>
    <mergeCell ref="B10:H10"/>
    <mergeCell ref="B7:H8"/>
    <mergeCell ref="B2:H2"/>
    <mergeCell ref="B6:H6"/>
    <mergeCell ref="B29:C29"/>
    <mergeCell ref="D29:G29"/>
    <mergeCell ref="B26:C26"/>
    <mergeCell ref="D26:G26"/>
    <mergeCell ref="B27:C27"/>
    <mergeCell ref="D27:G27"/>
    <mergeCell ref="B28:C28"/>
    <mergeCell ref="D28:G28"/>
  </mergeCells>
  <pageMargins left="0.7" right="0.7" top="0.75" bottom="0.75" header="0.3" footer="0.3"/>
  <pageSetup orientation="portrait" r:id="rId1"/>
  <headerFooter>
    <oddHeader>&amp;LEASE: Estimation Approach to Statistics with Excel&amp;RDesign: Single Factor, Between-Subjects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A44"/>
  <sheetViews>
    <sheetView showRuler="0" zoomScaleNormal="100" workbookViewId="0">
      <selection activeCell="C40" sqref="C40"/>
    </sheetView>
  </sheetViews>
  <sheetFormatPr defaultColWidth="11.109375" defaultRowHeight="14.4" x14ac:dyDescent="0.3"/>
  <cols>
    <col min="1" max="1" width="4.5546875" customWidth="1"/>
    <col min="9" max="10" width="4.5546875" customWidth="1"/>
    <col min="18" max="18" width="4.5546875" customWidth="1"/>
    <col min="19" max="19" width="4.5546875" hidden="1" customWidth="1"/>
    <col min="20" max="26" width="0" hidden="1" customWidth="1"/>
    <col min="27" max="27" width="4.5546875" hidden="1" customWidth="1"/>
  </cols>
  <sheetData>
    <row r="2" spans="1:26" ht="15" customHeight="1" x14ac:dyDescent="0.3">
      <c r="B2" s="122" t="s">
        <v>43</v>
      </c>
      <c r="C2" s="122"/>
      <c r="D2" s="122"/>
      <c r="E2" s="122"/>
      <c r="F2" s="122"/>
      <c r="G2" s="122"/>
      <c r="H2" s="122"/>
      <c r="K2" s="122" t="s">
        <v>76</v>
      </c>
      <c r="L2" s="122"/>
      <c r="M2" s="122"/>
      <c r="N2" s="122"/>
      <c r="O2" s="122"/>
      <c r="P2" s="122"/>
      <c r="Q2" s="122"/>
      <c r="T2" s="122" t="s">
        <v>64</v>
      </c>
      <c r="U2" s="122"/>
      <c r="V2" s="122"/>
      <c r="W2" s="122"/>
      <c r="X2" s="122"/>
      <c r="Y2" s="122"/>
      <c r="Z2" s="122"/>
    </row>
    <row r="3" spans="1:26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spans="1:26" ht="15.6" x14ac:dyDescent="0.3">
      <c r="B4" s="6" t="s">
        <v>116</v>
      </c>
      <c r="C4" s="3"/>
      <c r="D4" s="3"/>
      <c r="E4" s="3"/>
      <c r="F4" s="3"/>
      <c r="G4" s="5" t="s">
        <v>40</v>
      </c>
      <c r="H4" s="31">
        <v>95</v>
      </c>
      <c r="I4" s="3"/>
      <c r="K4" s="6" t="s">
        <v>116</v>
      </c>
      <c r="L4" s="3"/>
      <c r="M4" s="3"/>
      <c r="N4" s="3"/>
      <c r="O4" s="3"/>
      <c r="P4" s="5" t="s">
        <v>40</v>
      </c>
      <c r="Q4" s="31">
        <v>95</v>
      </c>
    </row>
    <row r="5" spans="1:26" ht="15" thickBot="1" x14ac:dyDescent="0.3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</row>
    <row r="6" spans="1:26" ht="15" thickBot="1" x14ac:dyDescent="0.35">
      <c r="A6" s="3"/>
      <c r="B6" s="48" t="s">
        <v>0</v>
      </c>
      <c r="C6" s="48" t="s">
        <v>1</v>
      </c>
      <c r="D6" s="48" t="s">
        <v>13</v>
      </c>
      <c r="E6" s="48" t="s">
        <v>68</v>
      </c>
      <c r="F6" s="48" t="s">
        <v>84</v>
      </c>
      <c r="G6" s="131" t="s">
        <v>87</v>
      </c>
      <c r="H6" s="131"/>
      <c r="J6" s="3"/>
      <c r="K6" s="48" t="s">
        <v>0</v>
      </c>
      <c r="L6" s="48" t="s">
        <v>3</v>
      </c>
      <c r="M6" s="48" t="s">
        <v>25</v>
      </c>
      <c r="N6" s="48" t="s">
        <v>2</v>
      </c>
      <c r="O6" s="48" t="s">
        <v>84</v>
      </c>
      <c r="P6" s="131" t="s">
        <v>65</v>
      </c>
      <c r="Q6" s="131"/>
    </row>
    <row r="7" spans="1:26" x14ac:dyDescent="0.3">
      <c r="A7" s="3"/>
      <c r="B7" s="19" t="str">
        <f>IF(Data!R7="","",Data!R7)</f>
        <v/>
      </c>
      <c r="C7" s="58" t="str">
        <f>Data!T7</f>
        <v/>
      </c>
      <c r="D7" s="27" t="str">
        <f>Data!U7</f>
        <v/>
      </c>
      <c r="E7" s="27" t="str">
        <f>Data!V7</f>
        <v/>
      </c>
      <c r="F7" s="27" t="str">
        <f>Data!X7</f>
        <v/>
      </c>
      <c r="G7" s="20" t="str">
        <f>IFERROR(Data!U7-TINV(1-$H$4/100,Data!T7-1)*Data!X7,"")</f>
        <v/>
      </c>
      <c r="H7" s="20" t="str">
        <f>IFERROR(Data!U7+TINV(1-$H$4/100,Data!T7-1)*Data!X7,"")</f>
        <v/>
      </c>
      <c r="J7" s="3"/>
      <c r="K7" s="19" t="str">
        <f>B7</f>
        <v/>
      </c>
      <c r="L7" s="20" t="str">
        <f>IFERROR((D7-C40)/E7,"")</f>
        <v/>
      </c>
      <c r="M7" s="20" t="str">
        <f>IFERROR((1-3/(4*G40-1))*L7,"")</f>
        <v/>
      </c>
      <c r="N7" s="42" t="str">
        <f>Data!W7</f>
        <v/>
      </c>
      <c r="O7" s="20" t="str">
        <f>IFERROR(SQRT((G40+2)/(Data!T7*Data!T7)+((L7^2)/(2*(G40+2)))),"")</f>
        <v/>
      </c>
      <c r="P7" s="27" t="str">
        <f>IFERROR(Y17*SQRT(1/C7),"")</f>
        <v/>
      </c>
      <c r="Q7" s="27" t="str">
        <f>IFERROR(Z17*SQRT(1/C7),"")</f>
        <v/>
      </c>
    </row>
    <row r="8" spans="1:26" x14ac:dyDescent="0.3">
      <c r="A8" s="3"/>
      <c r="B8" s="21" t="str">
        <f>IF(Data!R8="","",Data!R8)</f>
        <v/>
      </c>
      <c r="C8" s="82" t="str">
        <f>Data!T8</f>
        <v/>
      </c>
      <c r="D8" s="29" t="str">
        <f>Data!U8</f>
        <v/>
      </c>
      <c r="E8" s="29" t="str">
        <f>Data!V8</f>
        <v/>
      </c>
      <c r="F8" s="29" t="str">
        <f>Data!X8</f>
        <v/>
      </c>
      <c r="G8" s="22" t="str">
        <f>IFERROR(Data!U8-TINV(1-$H$4/100,Data!T8-1)*Data!X8,"")</f>
        <v/>
      </c>
      <c r="H8" s="22" t="str">
        <f>IFERROR(Data!U8+TINV(1-$H$4/100,Data!T8-1)*Data!X8,"")</f>
        <v/>
      </c>
      <c r="J8" s="3"/>
      <c r="K8" s="21" t="str">
        <f>B8</f>
        <v/>
      </c>
      <c r="L8" s="22" t="str">
        <f>IFERROR((D8-C41)/E8,"")</f>
        <v/>
      </c>
      <c r="M8" s="22" t="str">
        <f>IFERROR((1-3/(4*G41-1))*L8,"")</f>
        <v/>
      </c>
      <c r="N8" s="43" t="str">
        <f>Data!W8</f>
        <v/>
      </c>
      <c r="O8" s="22" t="str">
        <f>IFERROR(SQRT((G41+2)/(Data!T8*Data!T8)+((L8^2)/(2*(G41+2)))),"")</f>
        <v/>
      </c>
      <c r="P8" s="29" t="str">
        <f>IFERROR(Y18*SQRT(1/C8),"")</f>
        <v/>
      </c>
      <c r="Q8" s="29" t="str">
        <f>IFERROR(Z18*SQRT(1/C8),"")</f>
        <v/>
      </c>
    </row>
    <row r="9" spans="1:26" x14ac:dyDescent="0.3">
      <c r="A9" s="3"/>
      <c r="B9" s="21" t="str">
        <f>IF(Data!R9="","",Data!R9)</f>
        <v/>
      </c>
      <c r="C9" s="82" t="str">
        <f>Data!T9</f>
        <v/>
      </c>
      <c r="D9" s="29" t="str">
        <f>Data!U9</f>
        <v/>
      </c>
      <c r="E9" s="29" t="str">
        <f>Data!V9</f>
        <v/>
      </c>
      <c r="F9" s="29" t="str">
        <f>Data!X9</f>
        <v/>
      </c>
      <c r="G9" s="22" t="str">
        <f>IFERROR(Data!U9-TINV(1-$H$4/100,Data!T9-1)*Data!X9,"")</f>
        <v/>
      </c>
      <c r="H9" s="22" t="str">
        <f>IFERROR(Data!U9+TINV(1-$H$4/100,Data!T9-1)*Data!X9,"")</f>
        <v/>
      </c>
      <c r="J9" s="3"/>
      <c r="K9" s="21" t="str">
        <f>B9</f>
        <v/>
      </c>
      <c r="L9" s="22" t="str">
        <f>IFERROR((D9-C42)/E9,"")</f>
        <v/>
      </c>
      <c r="M9" s="22" t="str">
        <f>IFERROR((1-3/(4*G42-1))*L9,"")</f>
        <v/>
      </c>
      <c r="N9" s="43" t="str">
        <f>Data!W9</f>
        <v/>
      </c>
      <c r="O9" s="22" t="str">
        <f>IFERROR(SQRT((G42+2)/(Data!T9*Data!T9)+((L9^2)/(2*(G42+2)))),"")</f>
        <v/>
      </c>
      <c r="P9" s="29" t="str">
        <f>IFERROR(Y19*SQRT(1/C9),"")</f>
        <v/>
      </c>
      <c r="Q9" s="29" t="str">
        <f>IFERROR(Z19*SQRT(1/C9),"")</f>
        <v/>
      </c>
    </row>
    <row r="10" spans="1:26" ht="15" thickBot="1" x14ac:dyDescent="0.35">
      <c r="A10" s="3"/>
      <c r="B10" s="21" t="str">
        <f>IF(Data!R10="","",Data!R10)</f>
        <v/>
      </c>
      <c r="C10" s="82" t="str">
        <f>Data!T10</f>
        <v/>
      </c>
      <c r="D10" s="29" t="str">
        <f>Data!U10</f>
        <v/>
      </c>
      <c r="E10" s="29" t="str">
        <f>Data!V10</f>
        <v/>
      </c>
      <c r="F10" s="29" t="str">
        <f>Data!X10</f>
        <v/>
      </c>
      <c r="G10" s="22" t="str">
        <f>IFERROR(Data!U10-TINV(1-$H$4/100,Data!T10-1)*Data!X10,"")</f>
        <v/>
      </c>
      <c r="H10" s="22" t="str">
        <f>IFERROR(Data!U10+TINV(1-$H$4/100,Data!T10-1)*Data!X10,"")</f>
        <v/>
      </c>
      <c r="J10" s="3"/>
      <c r="K10" s="96" t="str">
        <f>B10</f>
        <v/>
      </c>
      <c r="L10" s="83" t="str">
        <f>IFERROR((D10-C43)/E10,"")</f>
        <v/>
      </c>
      <c r="M10" s="83" t="str">
        <f>IFERROR((1-3/(4*G43-1))*L10,"")</f>
        <v/>
      </c>
      <c r="N10" s="85" t="str">
        <f>Data!W10</f>
        <v/>
      </c>
      <c r="O10" s="22" t="str">
        <f>IFERROR(SQRT((G43+2)/(Data!T10*Data!T10)+((L10^2)/(2*(G43+2)))),"")</f>
        <v/>
      </c>
      <c r="P10" s="29" t="str">
        <f>IFERROR(Y20*SQRT(1/C10),"")</f>
        <v/>
      </c>
      <c r="Q10" s="29" t="str">
        <f>IFERROR(Z20*SQRT(1/C10),"")</f>
        <v/>
      </c>
    </row>
    <row r="11" spans="1:26" x14ac:dyDescent="0.3">
      <c r="A11" s="3"/>
      <c r="B11" s="2"/>
      <c r="C11" s="2"/>
      <c r="D11" s="2"/>
      <c r="E11" s="2"/>
      <c r="F11" s="2"/>
      <c r="G11" s="2"/>
      <c r="H11" s="2"/>
      <c r="I11" s="3"/>
      <c r="J11" s="3"/>
      <c r="K11" s="2"/>
      <c r="L11" s="2"/>
      <c r="M11" s="2"/>
      <c r="N11" s="2"/>
      <c r="O11" s="2"/>
      <c r="P11" s="2"/>
      <c r="Q11" s="2"/>
    </row>
    <row r="12" spans="1:26" x14ac:dyDescent="0.3">
      <c r="A12" s="3"/>
    </row>
    <row r="13" spans="1:26" x14ac:dyDescent="0.3">
      <c r="A13" s="3"/>
    </row>
    <row r="14" spans="1:26" ht="15.6" x14ac:dyDescent="0.3">
      <c r="B14" s="6" t="s">
        <v>118</v>
      </c>
      <c r="C14" s="3"/>
      <c r="D14" s="3"/>
      <c r="E14" s="3"/>
      <c r="F14" s="3"/>
      <c r="G14" s="3"/>
      <c r="H14" s="3"/>
      <c r="I14" s="3"/>
      <c r="K14" s="6" t="s">
        <v>118</v>
      </c>
      <c r="L14" s="3"/>
      <c r="M14" s="3"/>
      <c r="N14" s="3"/>
      <c r="O14" s="3"/>
      <c r="P14" s="3"/>
      <c r="Q14" s="3"/>
      <c r="T14" s="6" t="s">
        <v>23</v>
      </c>
    </row>
    <row r="15" spans="1:26" ht="15" thickBot="1" x14ac:dyDescent="0.35">
      <c r="A15" s="25"/>
      <c r="B15" s="25"/>
      <c r="C15" s="25"/>
      <c r="D15" s="25"/>
      <c r="E15" s="25"/>
      <c r="F15" s="25"/>
      <c r="G15" s="25"/>
      <c r="H15" s="25"/>
      <c r="I15" s="25"/>
      <c r="J15" s="3"/>
      <c r="K15" s="3"/>
      <c r="L15" s="3"/>
      <c r="M15" s="3"/>
      <c r="N15" s="3"/>
      <c r="O15" s="3"/>
      <c r="P15" s="3"/>
      <c r="Q15" s="3"/>
    </row>
    <row r="16" spans="1:26" ht="15" thickBot="1" x14ac:dyDescent="0.35">
      <c r="A16" s="25"/>
      <c r="B16" s="89" t="s">
        <v>80</v>
      </c>
      <c r="C16" s="40"/>
      <c r="D16" s="40"/>
      <c r="E16" s="40"/>
      <c r="F16" s="40"/>
      <c r="G16" s="89" t="s">
        <v>82</v>
      </c>
      <c r="H16" s="40"/>
      <c r="I16" s="25"/>
      <c r="J16" s="3"/>
      <c r="K16" s="89" t="s">
        <v>80</v>
      </c>
      <c r="L16" s="40"/>
      <c r="M16" s="40"/>
      <c r="N16" s="36"/>
      <c r="O16" s="90"/>
      <c r="P16" s="89" t="s">
        <v>82</v>
      </c>
      <c r="Q16" s="40"/>
      <c r="R16" s="69"/>
      <c r="T16" s="59" t="s">
        <v>12</v>
      </c>
      <c r="U16" s="59" t="s">
        <v>13</v>
      </c>
      <c r="V16" s="59" t="s">
        <v>14</v>
      </c>
      <c r="W16" s="59" t="s">
        <v>15</v>
      </c>
      <c r="X16" s="59" t="s">
        <v>67</v>
      </c>
      <c r="Y16" s="59" t="s">
        <v>21</v>
      </c>
      <c r="Z16" s="59" t="s">
        <v>22</v>
      </c>
    </row>
    <row r="17" spans="1:26" x14ac:dyDescent="0.3">
      <c r="A17" s="25"/>
      <c r="B17" s="37" t="s">
        <v>0</v>
      </c>
      <c r="C17" s="37" t="s">
        <v>78</v>
      </c>
      <c r="D17" s="37" t="s">
        <v>75</v>
      </c>
      <c r="E17" s="36"/>
      <c r="F17" s="40"/>
      <c r="G17" s="37" t="s">
        <v>36</v>
      </c>
      <c r="H17" s="37" t="s">
        <v>78</v>
      </c>
      <c r="I17" s="25"/>
      <c r="J17" s="3"/>
      <c r="K17" s="37" t="s">
        <v>0</v>
      </c>
      <c r="L17" s="37" t="s">
        <v>78</v>
      </c>
      <c r="M17" s="37" t="s">
        <v>75</v>
      </c>
      <c r="N17" s="40"/>
      <c r="O17" s="90"/>
      <c r="P17" s="37" t="s">
        <v>36</v>
      </c>
      <c r="Q17" s="37" t="s">
        <v>78</v>
      </c>
      <c r="R17" s="69"/>
      <c r="S17" s="86"/>
      <c r="T17" s="27" t="e">
        <f>EXP(((LN(2)-LN(G40))/2)+GAMMALN((G40+1)/2)-GAMMALN(G40/2))</f>
        <v>#VALUE!</v>
      </c>
      <c r="U17" s="27" t="e">
        <f>T17*F40</f>
        <v>#VALUE!</v>
      </c>
      <c r="V17" s="27" t="e">
        <f>1+(F40^2)*(1-T17^2)</f>
        <v>#VALUE!</v>
      </c>
      <c r="W17" s="27" t="e">
        <f>(2*U17^3)-((2*G40-1)/G40)*(F40^2*U17)</f>
        <v>#VALUE!</v>
      </c>
      <c r="X17" s="12" t="e">
        <f>W17/SQRT(V17)^3</f>
        <v>#VALUE!</v>
      </c>
      <c r="Y17" s="28" t="e">
        <f t="shared" ref="Y17:Z20" si="0">IF($X17&lt;0.001,Y29,Y23)</f>
        <v>#VALUE!</v>
      </c>
      <c r="Z17" s="28" t="e">
        <f t="shared" si="0"/>
        <v>#VALUE!</v>
      </c>
    </row>
    <row r="18" spans="1:26" x14ac:dyDescent="0.3">
      <c r="A18" s="25"/>
      <c r="B18" s="36">
        <v>1.1000000000000001</v>
      </c>
      <c r="C18" s="39" t="e">
        <f>IF(H7="",NA(),H7)</f>
        <v>#N/A</v>
      </c>
      <c r="D18" s="39" t="e">
        <f t="shared" ref="D18:D20" si="1">C18</f>
        <v>#N/A</v>
      </c>
      <c r="E18" s="40"/>
      <c r="F18" s="40"/>
      <c r="G18" s="38">
        <v>0.5</v>
      </c>
      <c r="H18" s="38">
        <f>C$40</f>
        <v>0</v>
      </c>
      <c r="I18" s="25"/>
      <c r="J18" s="3"/>
      <c r="K18" s="36">
        <v>1.1000000000000001</v>
      </c>
      <c r="L18" s="39" t="e">
        <f>IF(Q7="",NA(),Q7)</f>
        <v>#N/A</v>
      </c>
      <c r="M18" s="39" t="e">
        <f t="shared" ref="M18:M29" si="2">L18</f>
        <v>#N/A</v>
      </c>
      <c r="N18" s="40"/>
      <c r="O18" s="90"/>
      <c r="P18" s="38">
        <v>0.5</v>
      </c>
      <c r="Q18" s="38">
        <f>L$40</f>
        <v>0</v>
      </c>
      <c r="R18" s="69"/>
      <c r="T18" s="29" t="e">
        <f>EXP(((LN(2)-LN(G41))/2)+GAMMALN((G41+1)/2)-GAMMALN(G41/2))</f>
        <v>#VALUE!</v>
      </c>
      <c r="U18" s="29" t="e">
        <f>T18*F41</f>
        <v>#VALUE!</v>
      </c>
      <c r="V18" s="29" t="e">
        <f>1+(F41^2)*(1-T18^2)</f>
        <v>#VALUE!</v>
      </c>
      <c r="W18" s="29" t="e">
        <f>(2*U18^3)-((2*G41-1)/G41)*(F41^2*U18)</f>
        <v>#VALUE!</v>
      </c>
      <c r="X18" s="12" t="e">
        <f>W18/SQRT(V18)^3</f>
        <v>#VALUE!</v>
      </c>
      <c r="Y18" s="28" t="e">
        <f t="shared" si="0"/>
        <v>#VALUE!</v>
      </c>
      <c r="Z18" s="28" t="e">
        <f t="shared" si="0"/>
        <v>#VALUE!</v>
      </c>
    </row>
    <row r="19" spans="1:26" x14ac:dyDescent="0.3">
      <c r="A19" s="25"/>
      <c r="B19" s="36">
        <v>1.1000000000000001</v>
      </c>
      <c r="C19" s="38" t="e">
        <f>IF(D7="",NA(),D7)</f>
        <v>#N/A</v>
      </c>
      <c r="D19" s="39" t="e">
        <f t="shared" si="1"/>
        <v>#N/A</v>
      </c>
      <c r="E19" s="40"/>
      <c r="F19" s="40"/>
      <c r="G19" s="38">
        <v>1</v>
      </c>
      <c r="H19" s="38">
        <f>C$40</f>
        <v>0</v>
      </c>
      <c r="I19" s="25"/>
      <c r="J19" s="3"/>
      <c r="K19" s="36">
        <v>1.1000000000000001</v>
      </c>
      <c r="L19" s="38" t="e">
        <f>IF(M7="",NA(),M7)</f>
        <v>#N/A</v>
      </c>
      <c r="M19" s="39" t="e">
        <f t="shared" si="2"/>
        <v>#N/A</v>
      </c>
      <c r="N19" s="40"/>
      <c r="O19" s="90"/>
      <c r="P19" s="38">
        <v>1</v>
      </c>
      <c r="Q19" s="38">
        <f>L$40</f>
        <v>0</v>
      </c>
      <c r="R19" s="69"/>
      <c r="T19" s="29" t="e">
        <f>EXP(((LN(2)-LN(G42))/2)+GAMMALN((G42+1)/2)-GAMMALN(G42/2))</f>
        <v>#VALUE!</v>
      </c>
      <c r="U19" s="29" t="e">
        <f>T19*F42</f>
        <v>#VALUE!</v>
      </c>
      <c r="V19" s="29" t="e">
        <f>1+(F42^2)*(1-T19^2)</f>
        <v>#VALUE!</v>
      </c>
      <c r="W19" s="29" t="e">
        <f>(2*U19^3)-((2*G42-1)/G42)*(F42^2*U19)</f>
        <v>#VALUE!</v>
      </c>
      <c r="X19" s="12" t="e">
        <f>W19/SQRT(V19)^3</f>
        <v>#VALUE!</v>
      </c>
      <c r="Y19" s="28" t="e">
        <f t="shared" si="0"/>
        <v>#VALUE!</v>
      </c>
      <c r="Z19" s="28" t="e">
        <f t="shared" si="0"/>
        <v>#VALUE!</v>
      </c>
    </row>
    <row r="20" spans="1:26" ht="15" thickBot="1" x14ac:dyDescent="0.35">
      <c r="A20" s="25"/>
      <c r="B20" s="36">
        <v>1.1000000000000001</v>
      </c>
      <c r="C20" s="39" t="e">
        <f>IF(G7="",NA(),G7)</f>
        <v>#N/A</v>
      </c>
      <c r="D20" s="39" t="e">
        <f t="shared" si="1"/>
        <v>#N/A</v>
      </c>
      <c r="E20" s="40"/>
      <c r="F20" s="40"/>
      <c r="G20" s="38">
        <v>1.5</v>
      </c>
      <c r="H20" s="38">
        <f>C$40</f>
        <v>0</v>
      </c>
      <c r="I20" s="25"/>
      <c r="J20" s="3"/>
      <c r="K20" s="36">
        <v>1.1000000000000001</v>
      </c>
      <c r="L20" s="39" t="e">
        <f>IF(P7="",NA(),P7)</f>
        <v>#N/A</v>
      </c>
      <c r="M20" s="39" t="e">
        <f t="shared" si="2"/>
        <v>#N/A</v>
      </c>
      <c r="N20" s="40"/>
      <c r="O20" s="90"/>
      <c r="P20" s="38">
        <v>1.5</v>
      </c>
      <c r="Q20" s="38">
        <f>L$40</f>
        <v>0</v>
      </c>
      <c r="R20" s="69"/>
      <c r="T20" s="29" t="e">
        <f>EXP(((LN(2)-LN(G43))/2)+GAMMALN((G43+1)/2)-GAMMALN(G43/2))</f>
        <v>#VALUE!</v>
      </c>
      <c r="U20" s="29" t="e">
        <f>T20*F43</f>
        <v>#VALUE!</v>
      </c>
      <c r="V20" s="29" t="e">
        <f>1+(F43^2)*(1-T20^2)</f>
        <v>#VALUE!</v>
      </c>
      <c r="W20" s="29" t="e">
        <f>(2*U20^3)-((2*G43-1)/G43)*(F43^2*U20)</f>
        <v>#VALUE!</v>
      </c>
      <c r="X20" s="12" t="e">
        <f>W20/SQRT(V20)^3</f>
        <v>#VALUE!</v>
      </c>
      <c r="Y20" s="28" t="e">
        <f t="shared" si="0"/>
        <v>#VALUE!</v>
      </c>
      <c r="Z20" s="28" t="e">
        <f t="shared" si="0"/>
        <v>#VALUE!</v>
      </c>
    </row>
    <row r="21" spans="1:26" ht="15" thickBot="1" x14ac:dyDescent="0.35">
      <c r="A21" s="25"/>
      <c r="B21" s="36">
        <v>2.1</v>
      </c>
      <c r="C21" s="39" t="e">
        <f>IF(H8="",NA(),H8)</f>
        <v>#N/A</v>
      </c>
      <c r="D21" s="39" t="e">
        <f t="shared" ref="D21:D23" si="3">C21</f>
        <v>#N/A</v>
      </c>
      <c r="E21" s="40"/>
      <c r="F21" s="40"/>
      <c r="G21" s="38">
        <v>1.5</v>
      </c>
      <c r="H21" s="38">
        <f>C$41</f>
        <v>0</v>
      </c>
      <c r="I21" s="25"/>
      <c r="J21" s="3"/>
      <c r="K21" s="36">
        <v>2.1</v>
      </c>
      <c r="L21" s="39" t="e">
        <f>IF(Q8="",NA(),Q8)</f>
        <v>#N/A</v>
      </c>
      <c r="M21" s="39" t="e">
        <f t="shared" si="2"/>
        <v>#N/A</v>
      </c>
      <c r="N21" s="90"/>
      <c r="O21" s="90"/>
      <c r="P21" s="38">
        <v>1.5</v>
      </c>
      <c r="Q21" s="38">
        <f>L$41</f>
        <v>0</v>
      </c>
      <c r="R21" s="69"/>
      <c r="T21" s="87"/>
      <c r="U21" s="87"/>
      <c r="V21" s="87"/>
      <c r="W21" s="87"/>
      <c r="X21" s="87"/>
      <c r="Y21" s="87"/>
      <c r="Z21" s="87"/>
    </row>
    <row r="22" spans="1:26" ht="15" thickBot="1" x14ac:dyDescent="0.35">
      <c r="A22" s="25"/>
      <c r="B22" s="36">
        <v>2.1</v>
      </c>
      <c r="C22" s="38" t="e">
        <f>IF(D8="",NA(),D8)</f>
        <v>#N/A</v>
      </c>
      <c r="D22" s="39" t="e">
        <f t="shared" si="3"/>
        <v>#N/A</v>
      </c>
      <c r="E22" s="39"/>
      <c r="F22" s="40"/>
      <c r="G22" s="38">
        <v>2</v>
      </c>
      <c r="H22" s="38">
        <f>C$41</f>
        <v>0</v>
      </c>
      <c r="I22" s="25"/>
      <c r="J22" s="3"/>
      <c r="K22" s="36">
        <v>2.1</v>
      </c>
      <c r="L22" s="38" t="e">
        <f>IF(M8="",NA(),M8)</f>
        <v>#N/A</v>
      </c>
      <c r="M22" s="39" t="e">
        <f t="shared" si="2"/>
        <v>#N/A</v>
      </c>
      <c r="N22" s="90"/>
      <c r="O22" s="90"/>
      <c r="P22" s="38">
        <v>2</v>
      </c>
      <c r="Q22" s="38">
        <f>L$41</f>
        <v>0</v>
      </c>
      <c r="R22" s="69"/>
      <c r="T22" s="59" t="s">
        <v>16</v>
      </c>
      <c r="U22" s="59" t="s">
        <v>17</v>
      </c>
      <c r="V22" s="59" t="s">
        <v>18</v>
      </c>
      <c r="W22" s="59" t="s">
        <v>19</v>
      </c>
      <c r="X22" s="59" t="s">
        <v>20</v>
      </c>
      <c r="Y22" s="59" t="s">
        <v>21</v>
      </c>
      <c r="Z22" s="59" t="s">
        <v>22</v>
      </c>
    </row>
    <row r="23" spans="1:26" x14ac:dyDescent="0.3">
      <c r="A23" s="25"/>
      <c r="B23" s="36">
        <v>2.1</v>
      </c>
      <c r="C23" s="39" t="e">
        <f>IF(G8="",NA(),G8)</f>
        <v>#N/A</v>
      </c>
      <c r="D23" s="39" t="e">
        <f t="shared" si="3"/>
        <v>#N/A</v>
      </c>
      <c r="E23" s="39"/>
      <c r="F23" s="40"/>
      <c r="G23" s="38">
        <v>2.5</v>
      </c>
      <c r="H23" s="38">
        <f>C$41</f>
        <v>0</v>
      </c>
      <c r="I23" s="25"/>
      <c r="J23" s="3"/>
      <c r="K23" s="36">
        <v>2.1</v>
      </c>
      <c r="L23" s="39" t="e">
        <f>IF(P8="",NA(),P8)</f>
        <v>#N/A</v>
      </c>
      <c r="M23" s="39" t="e">
        <f t="shared" si="2"/>
        <v>#N/A</v>
      </c>
      <c r="N23" s="90"/>
      <c r="O23" s="90"/>
      <c r="P23" s="38">
        <v>2.5</v>
      </c>
      <c r="Q23" s="38">
        <f>L$41</f>
        <v>0</v>
      </c>
      <c r="R23" s="69"/>
      <c r="T23" s="27" t="e">
        <f>W17/(4*V17)</f>
        <v>#VALUE!</v>
      </c>
      <c r="U23" s="27" t="e">
        <f>V17/(2*T23^2)</f>
        <v>#VALUE!</v>
      </c>
      <c r="V23" s="27" t="e">
        <f>U17-(U23*T23)</f>
        <v>#VALUE!</v>
      </c>
      <c r="W23" s="27" t="e">
        <f>2*GAMMAINV((1-$Q$4/100)/2,U23/2,1)</f>
        <v>#VALUE!</v>
      </c>
      <c r="X23" s="27" t="e">
        <f>2*GAMMAINV(1-(1-$Q$4/100)/2,U23/2,1)</f>
        <v>#VALUE!</v>
      </c>
      <c r="Y23" s="27" t="e">
        <f>IF(F40&gt;0,V23+(T23*W23),V23+(T23*X23))</f>
        <v>#VALUE!</v>
      </c>
      <c r="Z23" s="27" t="e">
        <f>IF(F40&gt;0,V23+(T23*X23),V23+(T23*W23))</f>
        <v>#VALUE!</v>
      </c>
    </row>
    <row r="24" spans="1:26" x14ac:dyDescent="0.3">
      <c r="A24" s="25"/>
      <c r="B24" s="36">
        <v>3.1</v>
      </c>
      <c r="C24" s="39" t="e">
        <f>IF(H9="",NA(),H9)</f>
        <v>#N/A</v>
      </c>
      <c r="D24" s="39" t="e">
        <f t="shared" ref="D24:D26" si="4">C24</f>
        <v>#N/A</v>
      </c>
      <c r="E24" s="39"/>
      <c r="F24" s="40"/>
      <c r="G24" s="38">
        <v>2.5</v>
      </c>
      <c r="H24" s="38">
        <f>C$42</f>
        <v>0</v>
      </c>
      <c r="I24" s="25"/>
      <c r="J24" s="3"/>
      <c r="K24" s="36">
        <v>3.1</v>
      </c>
      <c r="L24" s="39" t="e">
        <f>IF(Q9="",NA(),Q9)</f>
        <v>#N/A</v>
      </c>
      <c r="M24" s="39" t="e">
        <f t="shared" si="2"/>
        <v>#N/A</v>
      </c>
      <c r="N24" s="90"/>
      <c r="O24" s="90"/>
      <c r="P24" s="38">
        <v>2.5</v>
      </c>
      <c r="Q24" s="38">
        <f>L$42</f>
        <v>0</v>
      </c>
      <c r="R24" s="69"/>
      <c r="T24" s="29" t="e">
        <f>W18/(4*V18)</f>
        <v>#VALUE!</v>
      </c>
      <c r="U24" s="29" t="e">
        <f>V18/(2*T24^2)</f>
        <v>#VALUE!</v>
      </c>
      <c r="V24" s="29" t="e">
        <f>U18-(U24*T24)</f>
        <v>#VALUE!</v>
      </c>
      <c r="W24" s="29" t="e">
        <f>2*GAMMAINV((1-$Q$4/100)/2,U24/2,1)</f>
        <v>#VALUE!</v>
      </c>
      <c r="X24" s="29" t="e">
        <f>2*GAMMAINV(1-(1-$Q$4/100)/2,U24/2,1)</f>
        <v>#VALUE!</v>
      </c>
      <c r="Y24" s="29" t="e">
        <f>IF(F41&gt;0,V24+(T24*W24),V24+(T24*X24))</f>
        <v>#VALUE!</v>
      </c>
      <c r="Z24" s="29" t="e">
        <f>IF(F41&gt;0,V24+(T24*X24),V24+(T24*W24))</f>
        <v>#VALUE!</v>
      </c>
    </row>
    <row r="25" spans="1:26" x14ac:dyDescent="0.3">
      <c r="A25" s="25"/>
      <c r="B25" s="36">
        <v>3.1</v>
      </c>
      <c r="C25" s="38" t="e">
        <f>IF(D9="",NA(),D9)</f>
        <v>#N/A</v>
      </c>
      <c r="D25" s="39" t="e">
        <f t="shared" si="4"/>
        <v>#N/A</v>
      </c>
      <c r="E25" s="39"/>
      <c r="F25" s="40"/>
      <c r="G25" s="38">
        <v>3</v>
      </c>
      <c r="H25" s="38">
        <f>C$42</f>
        <v>0</v>
      </c>
      <c r="I25" s="25"/>
      <c r="J25" s="3"/>
      <c r="K25" s="36">
        <v>3.1</v>
      </c>
      <c r="L25" s="38" t="e">
        <f>IF(M9="",NA(),M9)</f>
        <v>#N/A</v>
      </c>
      <c r="M25" s="39" t="e">
        <f t="shared" si="2"/>
        <v>#N/A</v>
      </c>
      <c r="N25" s="90"/>
      <c r="O25" s="90"/>
      <c r="P25" s="38">
        <v>3</v>
      </c>
      <c r="Q25" s="38">
        <f>L$42</f>
        <v>0</v>
      </c>
      <c r="R25" s="69"/>
      <c r="T25" s="29" t="e">
        <f>W19/(4*V19)</f>
        <v>#VALUE!</v>
      </c>
      <c r="U25" s="29" t="e">
        <f>V19/(2*T25^2)</f>
        <v>#VALUE!</v>
      </c>
      <c r="V25" s="29" t="e">
        <f>U19-(U25*T25)</f>
        <v>#VALUE!</v>
      </c>
      <c r="W25" s="29" t="e">
        <f>2*GAMMAINV((1-$Q$4/100)/2,U25/2,1)</f>
        <v>#VALUE!</v>
      </c>
      <c r="X25" s="29" t="e">
        <f>2*GAMMAINV(1-(1-$Q$4/100)/2,U25/2,1)</f>
        <v>#VALUE!</v>
      </c>
      <c r="Y25" s="29" t="e">
        <f>IF(F42&gt;0,V25+(T25*W25),V25+(T25*X25))</f>
        <v>#VALUE!</v>
      </c>
      <c r="Z25" s="29" t="e">
        <f>IF(F42&gt;0,V25+(T25*X25),V25+(T25*W25))</f>
        <v>#VALUE!</v>
      </c>
    </row>
    <row r="26" spans="1:26" ht="15" thickBot="1" x14ac:dyDescent="0.35">
      <c r="A26" s="25"/>
      <c r="B26" s="36">
        <v>3.1</v>
      </c>
      <c r="C26" s="39" t="e">
        <f>IF(G9="",NA(),G9)</f>
        <v>#N/A</v>
      </c>
      <c r="D26" s="39" t="e">
        <f t="shared" si="4"/>
        <v>#N/A</v>
      </c>
      <c r="E26" s="39"/>
      <c r="F26" s="40"/>
      <c r="G26" s="38">
        <v>3.5</v>
      </c>
      <c r="H26" s="38">
        <f>C$42</f>
        <v>0</v>
      </c>
      <c r="I26" s="25"/>
      <c r="J26" s="3"/>
      <c r="K26" s="36">
        <v>3.1</v>
      </c>
      <c r="L26" s="39" t="e">
        <f>IF(P9="",NA(),P9)</f>
        <v>#N/A</v>
      </c>
      <c r="M26" s="39" t="e">
        <f t="shared" si="2"/>
        <v>#N/A</v>
      </c>
      <c r="N26" s="90"/>
      <c r="O26" s="90"/>
      <c r="P26" s="38">
        <v>3.5</v>
      </c>
      <c r="Q26" s="38">
        <f>L$42</f>
        <v>0</v>
      </c>
      <c r="R26" s="69"/>
      <c r="T26" s="49" t="e">
        <f>W20/(4*V20)</f>
        <v>#VALUE!</v>
      </c>
      <c r="U26" s="49" t="e">
        <f>V20/(2*T26^2)</f>
        <v>#VALUE!</v>
      </c>
      <c r="V26" s="49" t="e">
        <f>U20-(U26*T26)</f>
        <v>#VALUE!</v>
      </c>
      <c r="W26" s="49" t="e">
        <f>2*GAMMAINV((1-$Q$4/100)/2,U26/2,1)</f>
        <v>#VALUE!</v>
      </c>
      <c r="X26" s="49" t="e">
        <f>2*GAMMAINV(1-(1-$Q$4/100)/2,U26/2,1)</f>
        <v>#VALUE!</v>
      </c>
      <c r="Y26" s="49" t="e">
        <f>IF(F43&gt;0,V26+(T26*W26),V26+(T26*X26))</f>
        <v>#VALUE!</v>
      </c>
      <c r="Z26" s="49" t="e">
        <f>IF(F43&gt;0,V26+(T26*X26),V26+(T26*W26))</f>
        <v>#VALUE!</v>
      </c>
    </row>
    <row r="27" spans="1:26" ht="15" thickBot="1" x14ac:dyDescent="0.35">
      <c r="A27" s="25"/>
      <c r="B27" s="36">
        <v>4.0999999999999996</v>
      </c>
      <c r="C27" s="39" t="e">
        <f>IF(H10="",NA(),H10)</f>
        <v>#N/A</v>
      </c>
      <c r="D27" s="39" t="e">
        <f t="shared" ref="D27:D29" si="5">C27</f>
        <v>#N/A</v>
      </c>
      <c r="E27" s="39"/>
      <c r="F27" s="40"/>
      <c r="G27" s="38">
        <v>3.5</v>
      </c>
      <c r="H27" s="38">
        <f>C$43</f>
        <v>0</v>
      </c>
      <c r="I27" s="25"/>
      <c r="J27" s="3"/>
      <c r="K27" s="36">
        <v>4.0999999999999996</v>
      </c>
      <c r="L27" s="39" t="e">
        <f>IF(Q10="",NA(),Q10)</f>
        <v>#N/A</v>
      </c>
      <c r="M27" s="39" t="e">
        <f t="shared" si="2"/>
        <v>#N/A</v>
      </c>
      <c r="N27" s="90"/>
      <c r="O27" s="90"/>
      <c r="P27" s="38">
        <v>3.5</v>
      </c>
      <c r="Q27" s="38">
        <f>L$43</f>
        <v>0</v>
      </c>
      <c r="R27" s="69"/>
      <c r="T27" s="8"/>
      <c r="U27" s="8"/>
      <c r="V27" s="8"/>
      <c r="W27" s="8"/>
      <c r="X27" s="8"/>
      <c r="Y27" s="8"/>
      <c r="Z27" s="8"/>
    </row>
    <row r="28" spans="1:26" ht="15" thickBot="1" x14ac:dyDescent="0.35">
      <c r="A28" s="25"/>
      <c r="B28" s="37">
        <v>4.0999999999999996</v>
      </c>
      <c r="C28" s="38" t="e">
        <f>IF(D10="",NA(),D10)</f>
        <v>#N/A</v>
      </c>
      <c r="D28" s="39" t="e">
        <f t="shared" si="5"/>
        <v>#N/A</v>
      </c>
      <c r="E28" s="39"/>
      <c r="F28" s="40"/>
      <c r="G28" s="38">
        <v>4</v>
      </c>
      <c r="H28" s="38">
        <f>C$43</f>
        <v>0</v>
      </c>
      <c r="I28" s="25"/>
      <c r="J28" s="3"/>
      <c r="K28" s="37">
        <v>4.0999999999999996</v>
      </c>
      <c r="L28" s="38" t="e">
        <f>IF(M10="",NA(),M10)</f>
        <v>#N/A</v>
      </c>
      <c r="M28" s="39" t="e">
        <f t="shared" si="2"/>
        <v>#N/A</v>
      </c>
      <c r="N28" s="90"/>
      <c r="O28" s="90"/>
      <c r="P28" s="38">
        <v>4</v>
      </c>
      <c r="Q28" s="38">
        <f>L$43</f>
        <v>0</v>
      </c>
      <c r="R28" s="69"/>
      <c r="V28" s="59" t="s">
        <v>68</v>
      </c>
      <c r="W28" s="59" t="s">
        <v>69</v>
      </c>
      <c r="X28" s="59" t="s">
        <v>70</v>
      </c>
      <c r="Y28" s="59" t="s">
        <v>21</v>
      </c>
      <c r="Z28" s="59" t="s">
        <v>22</v>
      </c>
    </row>
    <row r="29" spans="1:26" x14ac:dyDescent="0.3">
      <c r="A29" s="25"/>
      <c r="B29" s="37">
        <v>4.0999999999999996</v>
      </c>
      <c r="C29" s="39" t="e">
        <f>IF(G10="",NA(),G10)</f>
        <v>#N/A</v>
      </c>
      <c r="D29" s="39" t="e">
        <f t="shared" si="5"/>
        <v>#N/A</v>
      </c>
      <c r="E29" s="39"/>
      <c r="F29" s="40"/>
      <c r="G29" s="38">
        <v>4.5</v>
      </c>
      <c r="H29" s="38">
        <f>C$43</f>
        <v>0</v>
      </c>
      <c r="I29" s="25"/>
      <c r="J29" s="3"/>
      <c r="K29" s="37">
        <v>4.0999999999999996</v>
      </c>
      <c r="L29" s="39" t="e">
        <f>IF(P10="",NA(),P10)</f>
        <v>#N/A</v>
      </c>
      <c r="M29" s="38" t="e">
        <f t="shared" si="2"/>
        <v>#N/A</v>
      </c>
      <c r="N29" s="90"/>
      <c r="O29" s="90"/>
      <c r="P29" s="38">
        <v>4.5</v>
      </c>
      <c r="Q29" s="38">
        <f>L$43</f>
        <v>0</v>
      </c>
      <c r="R29" s="69"/>
      <c r="V29" s="28" t="e">
        <f>SQRT(V17)</f>
        <v>#VALUE!</v>
      </c>
      <c r="W29" s="28">
        <f>NORMINV((1-$Q$4/100)/2,0,1)</f>
        <v>-1.9599639845400536</v>
      </c>
      <c r="X29" s="28">
        <f>NORMINV(1-(1-$Q$4/100)/2,0,1)</f>
        <v>1.9599639845400536</v>
      </c>
      <c r="Y29" s="28" t="e">
        <f>U17+W29*V29</f>
        <v>#VALUE!</v>
      </c>
      <c r="Z29" s="28" t="e">
        <f>U17+X29*V29</f>
        <v>#VALUE!</v>
      </c>
    </row>
    <row r="30" spans="1:26" x14ac:dyDescent="0.3">
      <c r="A30" s="25"/>
      <c r="B30" s="69"/>
      <c r="C30" s="69"/>
      <c r="D30" s="69"/>
      <c r="E30" s="26"/>
      <c r="F30" s="26"/>
      <c r="G30" s="26"/>
      <c r="H30" s="26"/>
      <c r="I30" s="25"/>
      <c r="J30" s="3"/>
      <c r="K30" s="40"/>
      <c r="L30" s="40"/>
      <c r="M30" s="40"/>
      <c r="N30" s="90"/>
      <c r="O30" s="90"/>
      <c r="P30" s="90"/>
      <c r="Q30" s="90"/>
      <c r="V30" s="28" t="e">
        <f>SQRT(V18)</f>
        <v>#VALUE!</v>
      </c>
      <c r="W30" s="28">
        <f>NORMINV((1-$Q$4/100)/2,0,1)</f>
        <v>-1.9599639845400536</v>
      </c>
      <c r="X30" s="28">
        <f>NORMINV(1-(1-$Q$4/100)/2,0,1)</f>
        <v>1.9599639845400536</v>
      </c>
      <c r="Y30" s="28" t="e">
        <f>U18+W30*V30</f>
        <v>#VALUE!</v>
      </c>
      <c r="Z30" s="28" t="e">
        <f>U18+X30*V30</f>
        <v>#VALUE!</v>
      </c>
    </row>
    <row r="31" spans="1:26" x14ac:dyDescent="0.3">
      <c r="A31" s="25"/>
      <c r="B31" s="69"/>
      <c r="C31" s="69"/>
      <c r="D31" s="69"/>
      <c r="E31" s="26"/>
      <c r="F31" s="26"/>
      <c r="G31" s="26"/>
      <c r="H31" s="26"/>
      <c r="I31" s="25"/>
      <c r="J31" s="3"/>
      <c r="K31" s="40"/>
      <c r="L31" s="40"/>
      <c r="M31" s="40"/>
      <c r="N31" s="90"/>
      <c r="O31" s="90"/>
      <c r="P31" s="90"/>
      <c r="Q31" s="90"/>
      <c r="V31" s="28" t="e">
        <f>SQRT(V19)</f>
        <v>#VALUE!</v>
      </c>
      <c r="W31" s="28">
        <f>NORMINV((1-$Q$4/100)/2,0,1)</f>
        <v>-1.9599639845400536</v>
      </c>
      <c r="X31" s="28">
        <f>NORMINV(1-(1-$Q$4/100)/2,0,1)</f>
        <v>1.9599639845400536</v>
      </c>
      <c r="Y31" s="28" t="e">
        <f>U19+W31*V31</f>
        <v>#VALUE!</v>
      </c>
      <c r="Z31" s="28" t="e">
        <f>U19+X31*V31</f>
        <v>#VALUE!</v>
      </c>
    </row>
    <row r="32" spans="1:26" ht="15" thickBot="1" x14ac:dyDescent="0.35">
      <c r="A32" s="25"/>
      <c r="B32" s="69"/>
      <c r="C32" s="69"/>
      <c r="D32" s="69"/>
      <c r="E32" s="26"/>
      <c r="F32" s="26"/>
      <c r="G32" s="26"/>
      <c r="H32" s="26"/>
      <c r="I32" s="25"/>
      <c r="K32" s="40"/>
      <c r="L32" s="40"/>
      <c r="M32" s="40"/>
      <c r="N32" s="40"/>
      <c r="O32" s="40"/>
      <c r="P32" s="40"/>
      <c r="Q32" s="40"/>
      <c r="V32" s="28" t="e">
        <f>SQRT(V20)</f>
        <v>#VALUE!</v>
      </c>
      <c r="W32" s="28">
        <f>NORMINV((1-$Q$4/100)/2,0,1)</f>
        <v>-1.9599639845400536</v>
      </c>
      <c r="X32" s="28">
        <f>NORMINV(1-(1-$Q$4/100)/2,0,1)</f>
        <v>1.9599639845400536</v>
      </c>
      <c r="Y32" s="28" t="e">
        <f>U20+W32*V32</f>
        <v>#VALUE!</v>
      </c>
      <c r="Z32" s="28" t="e">
        <f>U20+X32*V32</f>
        <v>#VALUE!</v>
      </c>
    </row>
    <row r="33" spans="1:26" x14ac:dyDescent="0.3">
      <c r="A33" s="86"/>
      <c r="B33" s="69"/>
      <c r="C33" s="69"/>
      <c r="D33" s="69"/>
      <c r="E33" s="26"/>
      <c r="F33" s="26"/>
      <c r="G33" s="26"/>
      <c r="H33" s="26"/>
      <c r="I33" s="25"/>
      <c r="J33" s="86"/>
      <c r="V33" s="8"/>
      <c r="W33" s="8"/>
      <c r="X33" s="8"/>
      <c r="Y33" s="8"/>
      <c r="Z33" s="8"/>
    </row>
    <row r="34" spans="1:26" x14ac:dyDescent="0.3">
      <c r="A34" s="3"/>
      <c r="B34" s="69"/>
      <c r="C34" s="25"/>
      <c r="D34" s="25"/>
      <c r="E34" s="25"/>
      <c r="F34" s="25"/>
      <c r="G34" s="25"/>
      <c r="H34" s="25"/>
      <c r="I34" s="3"/>
    </row>
    <row r="35" spans="1:26" x14ac:dyDescent="0.3">
      <c r="A35" s="3"/>
      <c r="C35" s="3"/>
      <c r="D35" s="3"/>
      <c r="E35" s="3"/>
      <c r="F35" s="3"/>
      <c r="G35" s="3"/>
      <c r="H35" s="3"/>
      <c r="I35" s="3"/>
    </row>
    <row r="37" spans="1:26" ht="15.6" x14ac:dyDescent="0.3">
      <c r="B37" s="46" t="s">
        <v>117</v>
      </c>
      <c r="I37" s="3"/>
      <c r="J37" s="3"/>
      <c r="K37" s="46" t="s">
        <v>119</v>
      </c>
      <c r="L37" s="3"/>
      <c r="M37" s="3"/>
      <c r="N37" s="3"/>
      <c r="O37" s="3"/>
      <c r="P37" s="3"/>
      <c r="Q37" s="3"/>
    </row>
    <row r="38" spans="1:26" ht="15" thickBot="1" x14ac:dyDescent="0.35">
      <c r="I38" s="3"/>
      <c r="J38" s="3"/>
      <c r="K38" s="3"/>
      <c r="L38" s="3"/>
      <c r="M38" s="3"/>
      <c r="N38" s="3"/>
      <c r="O38" s="3"/>
      <c r="P38" s="3"/>
      <c r="Q38" s="3"/>
    </row>
    <row r="39" spans="1:26" ht="15" thickBot="1" x14ac:dyDescent="0.35">
      <c r="B39" s="51" t="s">
        <v>0</v>
      </c>
      <c r="C39" s="51" t="s">
        <v>37</v>
      </c>
      <c r="D39" s="51" t="s">
        <v>53</v>
      </c>
      <c r="E39" s="51" t="s">
        <v>84</v>
      </c>
      <c r="F39" s="59" t="s">
        <v>11</v>
      </c>
      <c r="G39" s="48" t="s">
        <v>2</v>
      </c>
      <c r="H39" s="59" t="s">
        <v>52</v>
      </c>
      <c r="I39" s="3"/>
      <c r="J39" s="3"/>
      <c r="K39" s="51" t="s">
        <v>0</v>
      </c>
      <c r="L39" s="48" t="s">
        <v>41</v>
      </c>
      <c r="M39" s="3"/>
      <c r="N39" s="3"/>
      <c r="O39" s="3"/>
      <c r="P39" s="3"/>
      <c r="Q39" s="3"/>
    </row>
    <row r="40" spans="1:26" x14ac:dyDescent="0.3">
      <c r="B40" s="19" t="str">
        <f>B7</f>
        <v/>
      </c>
      <c r="C40" s="14"/>
      <c r="D40" s="27" t="str">
        <f>IFERROR(D7-C40,"")</f>
        <v/>
      </c>
      <c r="E40" s="27" t="str">
        <f>Data!X7</f>
        <v/>
      </c>
      <c r="F40" s="27" t="str">
        <f>IFERROR(D40/E40,"")</f>
        <v/>
      </c>
      <c r="G40" s="42" t="str">
        <f>Data!W7</f>
        <v/>
      </c>
      <c r="H40" s="27" t="str">
        <f>IFERROR(IF(TDIST(ABS(F40),G40,2)&lt;0.001,"&lt; 0.001",TDIST(ABS(F40),G40,2)),"")</f>
        <v/>
      </c>
      <c r="I40" s="3"/>
      <c r="J40" s="3"/>
      <c r="K40" s="19" t="str">
        <f>K7</f>
        <v/>
      </c>
      <c r="L40" s="14"/>
      <c r="M40" s="3"/>
      <c r="N40" s="3"/>
      <c r="O40" s="3"/>
      <c r="P40" s="3"/>
      <c r="Q40" s="3"/>
    </row>
    <row r="41" spans="1:26" x14ac:dyDescent="0.3">
      <c r="B41" s="21" t="str">
        <f>B8</f>
        <v/>
      </c>
      <c r="C41" s="15"/>
      <c r="D41" s="29" t="str">
        <f>IFERROR(D8-C41,"")</f>
        <v/>
      </c>
      <c r="E41" s="29" t="str">
        <f>Data!X8</f>
        <v/>
      </c>
      <c r="F41" s="29" t="str">
        <f>IFERROR(D41/E41,"")</f>
        <v/>
      </c>
      <c r="G41" s="43" t="str">
        <f>Data!W8</f>
        <v/>
      </c>
      <c r="H41" s="29" t="str">
        <f>IFERROR(IF(TDIST(ABS(F41),G41,2)&lt;0.001,"&lt; 0.001",TDIST(ABS(F41),G41,2)),"")</f>
        <v/>
      </c>
      <c r="I41" s="3"/>
      <c r="J41" s="3"/>
      <c r="K41" s="21" t="str">
        <f>K8</f>
        <v/>
      </c>
      <c r="L41" s="15"/>
      <c r="M41" s="3"/>
      <c r="N41" s="3"/>
      <c r="O41" s="3"/>
      <c r="P41" s="3"/>
      <c r="Q41" s="3"/>
    </row>
    <row r="42" spans="1:26" x14ac:dyDescent="0.3">
      <c r="B42" s="21" t="str">
        <f>B9</f>
        <v/>
      </c>
      <c r="C42" s="15"/>
      <c r="D42" s="29" t="str">
        <f>IFERROR(D9-C42,"")</f>
        <v/>
      </c>
      <c r="E42" s="29" t="str">
        <f>Data!X9</f>
        <v/>
      </c>
      <c r="F42" s="29" t="str">
        <f>IFERROR(D42/E42,"")</f>
        <v/>
      </c>
      <c r="G42" s="43" t="str">
        <f>Data!W9</f>
        <v/>
      </c>
      <c r="H42" s="29" t="str">
        <f>IFERROR(IF(TDIST(ABS(F42),G42,2)&lt;0.001,"&lt; 0.001",TDIST(ABS(F42),G42,2)),"")</f>
        <v/>
      </c>
      <c r="I42" s="3"/>
      <c r="J42" s="3"/>
      <c r="K42" s="21" t="str">
        <f>K9</f>
        <v/>
      </c>
      <c r="L42" s="15"/>
      <c r="M42" s="3"/>
      <c r="N42" s="3"/>
      <c r="O42" s="3"/>
      <c r="P42" s="3"/>
      <c r="Q42" s="3"/>
    </row>
    <row r="43" spans="1:26" ht="15" thickBot="1" x14ac:dyDescent="0.35">
      <c r="B43" s="96" t="str">
        <f>B10</f>
        <v/>
      </c>
      <c r="C43" s="15"/>
      <c r="D43" s="49" t="str">
        <f>IFERROR(D10-C43,"")</f>
        <v/>
      </c>
      <c r="E43" s="49" t="str">
        <f>Data!X10</f>
        <v/>
      </c>
      <c r="F43" s="49" t="str">
        <f>IFERROR(D43/E43,"")</f>
        <v/>
      </c>
      <c r="G43" s="85" t="str">
        <f>Data!W10</f>
        <v/>
      </c>
      <c r="H43" s="49" t="str">
        <f>IFERROR(IF(TDIST(ABS(F43),G43,2)&lt;0.001,"&lt; 0.001",TDIST(ABS(F43),G43,2)),"")</f>
        <v/>
      </c>
      <c r="I43" s="3"/>
      <c r="J43" s="3"/>
      <c r="K43" s="96" t="str">
        <f>K10</f>
        <v/>
      </c>
      <c r="L43" s="84"/>
      <c r="M43" s="3"/>
      <c r="N43" s="3"/>
      <c r="O43" s="3"/>
      <c r="P43" s="3"/>
      <c r="Q43" s="3"/>
    </row>
    <row r="44" spans="1:26" x14ac:dyDescent="0.3">
      <c r="B44" s="8"/>
      <c r="C44" s="2"/>
      <c r="D44" s="8"/>
      <c r="E44" s="8"/>
      <c r="F44" s="8"/>
      <c r="G44" s="8"/>
      <c r="H44" s="8"/>
      <c r="I44" s="3"/>
      <c r="J44" s="3"/>
      <c r="K44" s="8"/>
      <c r="L44" s="2"/>
      <c r="M44" s="3"/>
      <c r="N44" s="3"/>
      <c r="O44" s="3"/>
      <c r="P44" s="3"/>
      <c r="Q44" s="3"/>
    </row>
  </sheetData>
  <sheetProtection sheet="1" selectLockedCells="1"/>
  <mergeCells count="5">
    <mergeCell ref="B2:H2"/>
    <mergeCell ref="K2:Q2"/>
    <mergeCell ref="T2:Z2"/>
    <mergeCell ref="P6:Q6"/>
    <mergeCell ref="G6:H6"/>
  </mergeCells>
  <printOptions horizontalCentered="1"/>
  <pageMargins left="0.7" right="0.7" top="0.75" bottom="0.75" header="0.3" footer="0.3"/>
  <pageSetup orientation="portrait" r:id="rId1"/>
  <headerFooter>
    <oddHeader>&amp;LEASE: Estimation Approach to Statistics with Excel&amp;RDesign: Single Factor, Between-Subjects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AA45"/>
  <sheetViews>
    <sheetView showRuler="0" zoomScaleNormal="100" workbookViewId="0">
      <selection activeCell="C44" sqref="C44"/>
    </sheetView>
  </sheetViews>
  <sheetFormatPr defaultColWidth="11.109375" defaultRowHeight="14.4" x14ac:dyDescent="0.3"/>
  <cols>
    <col min="1" max="1" width="4.5546875" customWidth="1"/>
    <col min="9" max="10" width="4.5546875" customWidth="1"/>
    <col min="18" max="18" width="4.5546875" customWidth="1"/>
    <col min="19" max="19" width="4.5546875" hidden="1" customWidth="1"/>
    <col min="20" max="26" width="0" hidden="1" customWidth="1"/>
    <col min="27" max="27" width="4.5546875" hidden="1" customWidth="1"/>
  </cols>
  <sheetData>
    <row r="1" spans="2:26" ht="15" customHeight="1" x14ac:dyDescent="0.3"/>
    <row r="2" spans="2:26" ht="15" customHeight="1" x14ac:dyDescent="0.3">
      <c r="B2" s="122" t="s">
        <v>77</v>
      </c>
      <c r="C2" s="122"/>
      <c r="D2" s="122"/>
      <c r="E2" s="122"/>
      <c r="F2" s="122"/>
      <c r="G2" s="122"/>
      <c r="H2" s="122"/>
      <c r="K2" s="122" t="s">
        <v>112</v>
      </c>
      <c r="L2" s="122"/>
      <c r="M2" s="122"/>
      <c r="N2" s="122"/>
      <c r="O2" s="122"/>
      <c r="P2" s="122"/>
      <c r="Q2" s="122"/>
      <c r="T2" s="122" t="s">
        <v>64</v>
      </c>
      <c r="U2" s="122"/>
      <c r="V2" s="122"/>
      <c r="W2" s="122"/>
      <c r="X2" s="122"/>
      <c r="Y2" s="122"/>
      <c r="Z2" s="122"/>
    </row>
    <row r="4" spans="2:26" ht="15.6" x14ac:dyDescent="0.3">
      <c r="B4" s="46" t="s">
        <v>116</v>
      </c>
      <c r="G4" s="12" t="s">
        <v>40</v>
      </c>
      <c r="H4" s="18">
        <v>95</v>
      </c>
      <c r="K4" s="46" t="s">
        <v>116</v>
      </c>
      <c r="L4" s="3"/>
      <c r="M4" s="3"/>
      <c r="N4" s="3"/>
      <c r="O4" s="3"/>
      <c r="P4" s="5" t="s">
        <v>40</v>
      </c>
      <c r="Q4" s="31">
        <v>95</v>
      </c>
    </row>
    <row r="5" spans="2:26" ht="15" thickBot="1" x14ac:dyDescent="0.35">
      <c r="K5" s="3"/>
      <c r="L5" s="3"/>
      <c r="M5" s="3"/>
      <c r="N5" s="3"/>
      <c r="O5" s="3"/>
      <c r="P5" s="3"/>
      <c r="Q5" s="3"/>
    </row>
    <row r="6" spans="2:26" ht="15" thickBot="1" x14ac:dyDescent="0.35">
      <c r="B6" s="51" t="s">
        <v>0</v>
      </c>
      <c r="C6" s="51" t="s">
        <v>1</v>
      </c>
      <c r="D6" s="51" t="s">
        <v>13</v>
      </c>
      <c r="E6" s="51" t="s">
        <v>68</v>
      </c>
      <c r="F6" s="51" t="s">
        <v>84</v>
      </c>
      <c r="G6" s="132" t="s">
        <v>87</v>
      </c>
      <c r="H6" s="132"/>
      <c r="K6" s="48" t="s">
        <v>0</v>
      </c>
      <c r="L6" s="48" t="s">
        <v>3</v>
      </c>
      <c r="M6" s="48" t="s">
        <v>25</v>
      </c>
      <c r="N6" s="48" t="str">
        <f t="shared" ref="N6:N11" si="0">G39</f>
        <v>df</v>
      </c>
      <c r="O6" s="48" t="s">
        <v>84</v>
      </c>
      <c r="P6" s="131" t="s">
        <v>65</v>
      </c>
      <c r="Q6" s="131"/>
    </row>
    <row r="7" spans="2:26" x14ac:dyDescent="0.3">
      <c r="B7" s="75">
        <v>2</v>
      </c>
      <c r="C7" s="53" t="str">
        <f>IF(B7="","",VLOOKUP($B7,Data!$S$7:$V$10,2,FALSE))</f>
        <v/>
      </c>
      <c r="D7" s="27" t="str">
        <f>IF(B7="","",VLOOKUP($B7,Data!$S$7:$V$10,3,FALSE))</f>
        <v/>
      </c>
      <c r="E7" s="27" t="str">
        <f>IF(B7="","",VLOOKUP($B7,Data!$S$7:$V$10,4,FALSE))</f>
        <v/>
      </c>
      <c r="F7" s="27" t="str">
        <f>IFERROR(E7/SQRT(C7),"")</f>
        <v/>
      </c>
      <c r="G7" s="27" t="str">
        <f>IFERROR(D7-TINV(1-$H$4/100,C7-1)*E40,"")</f>
        <v/>
      </c>
      <c r="H7" s="27" t="str">
        <f>IFERROR(D7+TINV(1-$H$4/100,C7-1)*E40,"")</f>
        <v/>
      </c>
      <c r="K7" s="19">
        <f>IF(B7="","",B7)</f>
        <v>2</v>
      </c>
      <c r="L7" s="20" t="str">
        <f>IFERROR((D7-C40)/E7,"")</f>
        <v/>
      </c>
      <c r="M7" s="20" t="str">
        <f>IFERROR((1-3/(4*G40-1))*L7,"")</f>
        <v/>
      </c>
      <c r="N7" s="42" t="str">
        <f t="shared" si="0"/>
        <v/>
      </c>
      <c r="O7" s="20" t="str">
        <f>IFERROR(SQRT((G40+2)/(C7*C7)+((L7^2)/(2*(G40+2)))),"")</f>
        <v/>
      </c>
      <c r="P7" s="27" t="str">
        <f>IFERROR(Y17*SQRT(1/C7),"")</f>
        <v/>
      </c>
      <c r="Q7" s="27" t="str">
        <f>IFERROR(Z17*SQRT(1/C7),"")</f>
        <v/>
      </c>
    </row>
    <row r="8" spans="2:26" ht="15" thickBot="1" x14ac:dyDescent="0.35">
      <c r="B8" s="108">
        <v>1</v>
      </c>
      <c r="C8" s="57" t="str">
        <f>IF(B8="","",VLOOKUP($B8,Data!$S$7:$V$10,2,FALSE))</f>
        <v/>
      </c>
      <c r="D8" s="30" t="str">
        <f>IF(B8="","",VLOOKUP($B8,Data!$S$7:$V$10,3,FALSE))</f>
        <v/>
      </c>
      <c r="E8" s="30" t="str">
        <f>IF(B8="","",VLOOKUP($B8,Data!$S$7:$V$10,4,FALSE))</f>
        <v/>
      </c>
      <c r="F8" s="49" t="str">
        <f>IFERROR(E8/SQRT(C8),"")</f>
        <v/>
      </c>
      <c r="G8" s="49" t="str">
        <f>IFERROR(D8-TINV(1-$H$4/100,C8-1)*E41,"")</f>
        <v/>
      </c>
      <c r="H8" s="49" t="str">
        <f>IFERROR(D8+TINV(1-$H$4/100,C8-1)*E41,"")</f>
        <v/>
      </c>
      <c r="K8" s="96">
        <f>IF(B8="","",B8)</f>
        <v>1</v>
      </c>
      <c r="L8" s="83" t="str">
        <f>IFERROR((D8-C41)/E8,"")</f>
        <v/>
      </c>
      <c r="M8" s="83" t="str">
        <f>IFERROR((1-3/(4*G41-1))*L8,"")</f>
        <v/>
      </c>
      <c r="N8" s="85" t="str">
        <f t="shared" si="0"/>
        <v/>
      </c>
      <c r="O8" s="83" t="str">
        <f>IFERROR(SQRT((G41+2)/(C8*C8)+((L8^2)/(2*(G41+2)))),"")</f>
        <v/>
      </c>
      <c r="P8" s="49" t="str">
        <f>IFERROR(Y18*SQRT(1/C8),"")</f>
        <v/>
      </c>
      <c r="Q8" s="49" t="str">
        <f>IFERROR(Z18*SQRT(1/C8),"")</f>
        <v/>
      </c>
    </row>
    <row r="9" spans="2:26" ht="15" thickBot="1" x14ac:dyDescent="0.35">
      <c r="B9" s="7"/>
      <c r="C9" s="7"/>
      <c r="D9" s="7"/>
      <c r="E9" s="7"/>
      <c r="F9" s="7"/>
      <c r="G9" s="7"/>
      <c r="H9" s="7"/>
      <c r="K9" s="7"/>
      <c r="L9" s="7"/>
      <c r="M9" s="7"/>
      <c r="N9" s="7"/>
      <c r="O9" s="7"/>
      <c r="P9" s="7"/>
      <c r="Q9" s="7"/>
    </row>
    <row r="10" spans="2:26" ht="15" thickBot="1" x14ac:dyDescent="0.35">
      <c r="B10" s="48" t="s">
        <v>115</v>
      </c>
      <c r="C10" s="48"/>
      <c r="D10" s="48" t="s">
        <v>86</v>
      </c>
      <c r="E10" s="51" t="s">
        <v>68</v>
      </c>
      <c r="F10" s="51" t="s">
        <v>84</v>
      </c>
      <c r="G10" s="131" t="s">
        <v>85</v>
      </c>
      <c r="H10" s="131"/>
      <c r="K10" s="48" t="s">
        <v>115</v>
      </c>
      <c r="L10" s="48" t="s">
        <v>3</v>
      </c>
      <c r="M10" s="48" t="s">
        <v>25</v>
      </c>
      <c r="N10" s="48" t="str">
        <f t="shared" ref="N10" si="1">G43</f>
        <v>df</v>
      </c>
      <c r="O10" s="48" t="s">
        <v>84</v>
      </c>
      <c r="P10" s="131" t="s">
        <v>65</v>
      </c>
      <c r="Q10" s="131"/>
    </row>
    <row r="11" spans="2:26" ht="15" thickBot="1" x14ac:dyDescent="0.35">
      <c r="B11" s="100" t="s">
        <v>71</v>
      </c>
      <c r="C11" s="100"/>
      <c r="D11" s="101" t="str">
        <f>IFERROR(D8-D7,"")</f>
        <v/>
      </c>
      <c r="E11" s="101" t="str">
        <f>IFERROR(SQRT((E7^2*(C7-1)+E8^2*(C8-1))/G44),"")</f>
        <v/>
      </c>
      <c r="F11" s="101" t="str">
        <f>IFERROR(SQRT((E11^2/C7)+(E11^2/C8)),"")</f>
        <v/>
      </c>
      <c r="G11" s="101" t="str">
        <f>IFERROR(D11-TINV(1-$H$4/100,G44-1)*E44,"")</f>
        <v/>
      </c>
      <c r="H11" s="101" t="str">
        <f>IFERROR(D11+TINV(1-$H$4/100,G44)*E44,"")</f>
        <v/>
      </c>
      <c r="K11" s="110" t="str">
        <f>B11</f>
        <v>Difference</v>
      </c>
      <c r="L11" s="111" t="str">
        <f>IFERROR((D11-C44)/E11,"")</f>
        <v/>
      </c>
      <c r="M11" s="111" t="str">
        <f>IFERROR((1-3/(4*G44-1))*L11,"")</f>
        <v/>
      </c>
      <c r="N11" s="113" t="str">
        <f t="shared" si="0"/>
        <v/>
      </c>
      <c r="O11" s="111" t="str">
        <f>IFERROR(SQRT((G44+2)/(C7*C8)+((L11^2)/(2*(G44+2)))),"")</f>
        <v/>
      </c>
      <c r="P11" s="101" t="str">
        <f>IFERROR(Y19*SQRT(1/C7+1/C8),"")</f>
        <v/>
      </c>
      <c r="Q11" s="101" t="str">
        <f>IFERROR(Z19*SQRT(1/C7+1/C8),"")</f>
        <v/>
      </c>
    </row>
    <row r="12" spans="2:26" x14ac:dyDescent="0.3">
      <c r="B12" s="8"/>
      <c r="C12" s="8"/>
      <c r="D12" s="8"/>
      <c r="E12" s="8"/>
      <c r="F12" s="8"/>
      <c r="G12" s="8"/>
      <c r="H12" s="8"/>
      <c r="K12" s="2"/>
      <c r="L12" s="2"/>
      <c r="M12" s="2"/>
      <c r="N12" s="2"/>
      <c r="O12" s="2"/>
      <c r="P12" s="2"/>
      <c r="Q12" s="2"/>
    </row>
    <row r="14" spans="2:26" ht="15.6" x14ac:dyDescent="0.3">
      <c r="B14" s="46" t="s">
        <v>118</v>
      </c>
      <c r="G14" s="12" t="s">
        <v>109</v>
      </c>
      <c r="H14" s="107">
        <v>1</v>
      </c>
      <c r="K14" s="46" t="s">
        <v>118</v>
      </c>
      <c r="P14" s="12" t="s">
        <v>109</v>
      </c>
      <c r="Q14" s="107">
        <v>0.5</v>
      </c>
      <c r="T14" s="6" t="s">
        <v>23</v>
      </c>
    </row>
    <row r="15" spans="2:26" ht="15" thickBot="1" x14ac:dyDescent="0.35">
      <c r="B15" s="28"/>
      <c r="C15" s="28"/>
      <c r="D15" s="28"/>
      <c r="E15" s="28"/>
      <c r="K15" s="28"/>
      <c r="L15" s="28"/>
      <c r="M15" s="28"/>
      <c r="N15" s="28"/>
    </row>
    <row r="16" spans="2:26" ht="15" thickBot="1" x14ac:dyDescent="0.35">
      <c r="B16" s="95" t="s">
        <v>80</v>
      </c>
      <c r="C16" s="69"/>
      <c r="D16" s="69"/>
      <c r="E16" s="69"/>
      <c r="F16" s="95" t="s">
        <v>79</v>
      </c>
      <c r="G16" s="69"/>
      <c r="H16" s="77">
        <f>IF(H14="",H32,H14)</f>
        <v>1</v>
      </c>
      <c r="K16" s="95" t="s">
        <v>80</v>
      </c>
      <c r="L16" s="69"/>
      <c r="M16" s="69"/>
      <c r="N16" s="69"/>
      <c r="O16" s="95" t="s">
        <v>79</v>
      </c>
      <c r="P16" s="69"/>
      <c r="Q16" s="77">
        <f>IF(Q14="",Q32,Q14)</f>
        <v>0.5</v>
      </c>
      <c r="T16" s="59" t="s">
        <v>12</v>
      </c>
      <c r="U16" s="59" t="s">
        <v>13</v>
      </c>
      <c r="V16" s="59" t="s">
        <v>14</v>
      </c>
      <c r="W16" s="59" t="s">
        <v>15</v>
      </c>
      <c r="X16" s="59" t="s">
        <v>67</v>
      </c>
      <c r="Y16" s="59" t="s">
        <v>21</v>
      </c>
      <c r="Z16" s="59" t="s">
        <v>22</v>
      </c>
    </row>
    <row r="17" spans="2:26" x14ac:dyDescent="0.3">
      <c r="B17" s="32" t="s">
        <v>0</v>
      </c>
      <c r="C17" s="32" t="s">
        <v>78</v>
      </c>
      <c r="D17" s="32" t="s">
        <v>75</v>
      </c>
      <c r="E17" s="69"/>
      <c r="F17" s="77" t="s">
        <v>36</v>
      </c>
      <c r="G17" s="77" t="s">
        <v>78</v>
      </c>
      <c r="H17" s="77" t="s">
        <v>75</v>
      </c>
      <c r="K17" s="32" t="s">
        <v>0</v>
      </c>
      <c r="L17" s="32" t="s">
        <v>78</v>
      </c>
      <c r="M17" s="32" t="s">
        <v>75</v>
      </c>
      <c r="N17" s="69"/>
      <c r="O17" s="77" t="s">
        <v>36</v>
      </c>
      <c r="P17" s="77" t="s">
        <v>78</v>
      </c>
      <c r="Q17" s="77" t="s">
        <v>75</v>
      </c>
      <c r="S17" s="86"/>
      <c r="T17" s="27" t="e">
        <f>EXP(((LN(2)-LN(G40))/2)+GAMMALN((G40+1)/2)-GAMMALN(G40/2))</f>
        <v>#VALUE!</v>
      </c>
      <c r="U17" s="27" t="e">
        <f>T17*F40</f>
        <v>#VALUE!</v>
      </c>
      <c r="V17" s="27" t="e">
        <f>1+(F40^2)*(1-T17^2)</f>
        <v>#VALUE!</v>
      </c>
      <c r="W17" s="27" t="e">
        <f>(2*U17^3)-((2*G40-1)/G40)*(F40^2*U17)</f>
        <v>#VALUE!</v>
      </c>
      <c r="X17" s="12" t="e">
        <f>W17/SQRT(V17)^3</f>
        <v>#VALUE!</v>
      </c>
      <c r="Y17" s="28" t="e">
        <f t="shared" ref="Y17:Z19" si="2">IF($X17&lt;0.001,Y27,Y22)</f>
        <v>#VALUE!</v>
      </c>
      <c r="Z17" s="28" t="e">
        <f t="shared" si="2"/>
        <v>#VALUE!</v>
      </c>
    </row>
    <row r="18" spans="2:26" x14ac:dyDescent="0.3">
      <c r="B18" s="32">
        <v>1.1000000000000001</v>
      </c>
      <c r="C18" s="77" t="e">
        <f>IF(H7="",NA(),H7)</f>
        <v>#N/A</v>
      </c>
      <c r="D18" s="77" t="e">
        <f t="shared" ref="D18:D23" si="3">C18</f>
        <v>#N/A</v>
      </c>
      <c r="E18" s="69"/>
      <c r="F18" s="77">
        <v>3.15</v>
      </c>
      <c r="G18" s="77" t="e">
        <f>IF(G19&gt;$F$31,NA(),G19+$H$16)</f>
        <v>#N/A</v>
      </c>
      <c r="H18" s="77" t="e">
        <f t="shared" ref="H18:H21" si="4">G18-$G$23</f>
        <v>#N/A</v>
      </c>
      <c r="I18" s="88"/>
      <c r="K18" s="32">
        <v>1.1000000000000001</v>
      </c>
      <c r="L18" s="77" t="e">
        <f>IF(Q7="",NA(),Q7)</f>
        <v>#N/A</v>
      </c>
      <c r="M18" s="77" t="e">
        <f t="shared" ref="M18:M23" si="5">L18</f>
        <v>#N/A</v>
      </c>
      <c r="N18" s="69"/>
      <c r="O18" s="77">
        <v>3.15</v>
      </c>
      <c r="P18" s="77" t="e">
        <f>IF(P19&gt;$O$31,NA(),P19+$Q$16)</f>
        <v>#N/A</v>
      </c>
      <c r="Q18" s="77" t="e">
        <f t="shared" ref="Q18:Q28" si="6">P18-$P$23</f>
        <v>#N/A</v>
      </c>
      <c r="R18" s="88"/>
      <c r="T18" s="29" t="e">
        <f>EXP(((LN(2)-LN(G41))/2)+GAMMALN((G41+1)/2)-GAMMALN(G41/2))</f>
        <v>#VALUE!</v>
      </c>
      <c r="U18" s="29" t="e">
        <f>T18*F41</f>
        <v>#VALUE!</v>
      </c>
      <c r="V18" s="29" t="e">
        <f>1+(F41^2)*(1-T18^2)</f>
        <v>#VALUE!</v>
      </c>
      <c r="W18" s="29" t="e">
        <f>(2*U18^3)-((2*G41-1)/G41)*(F41^2*U18)</f>
        <v>#VALUE!</v>
      </c>
      <c r="X18" s="12" t="e">
        <f>W18/SQRT(V18)^3</f>
        <v>#VALUE!</v>
      </c>
      <c r="Y18" s="28" t="e">
        <f t="shared" si="2"/>
        <v>#VALUE!</v>
      </c>
      <c r="Z18" s="28" t="e">
        <f t="shared" si="2"/>
        <v>#VALUE!</v>
      </c>
    </row>
    <row r="19" spans="2:26" ht="15" thickBot="1" x14ac:dyDescent="0.35">
      <c r="B19" s="32">
        <v>1.1000000000000001</v>
      </c>
      <c r="C19" s="77" t="e">
        <f>IF(D7="",NA(),D7)</f>
        <v>#N/A</v>
      </c>
      <c r="D19" s="77" t="e">
        <f t="shared" si="3"/>
        <v>#N/A</v>
      </c>
      <c r="E19" s="69"/>
      <c r="F19" s="77">
        <v>3.15</v>
      </c>
      <c r="G19" s="77" t="e">
        <f>IF(G20&gt;$F$31,NA(),G20+$H$16)</f>
        <v>#N/A</v>
      </c>
      <c r="H19" s="77" t="e">
        <f t="shared" si="4"/>
        <v>#N/A</v>
      </c>
      <c r="I19" s="88"/>
      <c r="K19" s="32">
        <v>1.1000000000000001</v>
      </c>
      <c r="L19" s="77" t="e">
        <f>IF(M7="",NA(),M7)</f>
        <v>#N/A</v>
      </c>
      <c r="M19" s="77" t="e">
        <f t="shared" si="5"/>
        <v>#N/A</v>
      </c>
      <c r="N19" s="69"/>
      <c r="O19" s="77">
        <v>3.15</v>
      </c>
      <c r="P19" s="77" t="e">
        <f>IF(P20&gt;$O$31,NA(),P20+$Q$16)</f>
        <v>#N/A</v>
      </c>
      <c r="Q19" s="77" t="e">
        <f t="shared" si="6"/>
        <v>#N/A</v>
      </c>
      <c r="R19" s="88"/>
      <c r="T19" s="29" t="e">
        <f>EXP(((LN(2)-LN(G44))/2)+GAMMALN((G44+1)/2)-GAMMALN(G44/2))</f>
        <v>#VALUE!</v>
      </c>
      <c r="U19" s="29" t="e">
        <f>T19*F44</f>
        <v>#VALUE!</v>
      </c>
      <c r="V19" s="29" t="e">
        <f>1+(F44^2)*(1-T19^2)</f>
        <v>#VALUE!</v>
      </c>
      <c r="W19" s="29" t="e">
        <f>(2*U19^3)-((2*G44-1)/G44)*(F44^2*U19)</f>
        <v>#VALUE!</v>
      </c>
      <c r="X19" s="12" t="e">
        <f>W19/SQRT(V19)^3</f>
        <v>#VALUE!</v>
      </c>
      <c r="Y19" s="28" t="e">
        <f t="shared" si="2"/>
        <v>#VALUE!</v>
      </c>
      <c r="Z19" s="28" t="e">
        <f t="shared" si="2"/>
        <v>#VALUE!</v>
      </c>
    </row>
    <row r="20" spans="2:26" ht="15" thickBot="1" x14ac:dyDescent="0.35">
      <c r="B20" s="32">
        <v>1.1000000000000001</v>
      </c>
      <c r="C20" s="77" t="e">
        <f>IF(G7="",NA(),G7)</f>
        <v>#N/A</v>
      </c>
      <c r="D20" s="77" t="e">
        <f t="shared" si="3"/>
        <v>#N/A</v>
      </c>
      <c r="E20" s="69"/>
      <c r="F20" s="77">
        <v>3.15</v>
      </c>
      <c r="G20" s="77" t="e">
        <f t="shared" ref="G20:G22" si="7">IF(G21&gt;$F$31,NA(),G21+$H$16)</f>
        <v>#N/A</v>
      </c>
      <c r="H20" s="77" t="e">
        <f t="shared" si="4"/>
        <v>#N/A</v>
      </c>
      <c r="I20" s="77"/>
      <c r="K20" s="32">
        <v>1.1000000000000001</v>
      </c>
      <c r="L20" s="77" t="e">
        <f>IF(P7="",NA(),P7)</f>
        <v>#N/A</v>
      </c>
      <c r="M20" s="77" t="e">
        <f t="shared" si="5"/>
        <v>#N/A</v>
      </c>
      <c r="N20" s="69"/>
      <c r="O20" s="77">
        <v>3.15</v>
      </c>
      <c r="P20" s="77" t="e">
        <f>IF(P21&gt;$O$31,NA(),P21+$Q$16)</f>
        <v>#N/A</v>
      </c>
      <c r="Q20" s="77" t="e">
        <f t="shared" si="6"/>
        <v>#N/A</v>
      </c>
      <c r="R20" s="77"/>
      <c r="T20" s="87"/>
      <c r="U20" s="87"/>
      <c r="V20" s="87"/>
      <c r="W20" s="87"/>
      <c r="X20" s="87"/>
      <c r="Y20" s="87"/>
      <c r="Z20" s="87"/>
    </row>
    <row r="21" spans="2:26" ht="15" thickBot="1" x14ac:dyDescent="0.35">
      <c r="B21" s="32">
        <v>2.1</v>
      </c>
      <c r="C21" s="77" t="e">
        <f>IF(H8="",NA(),H8)</f>
        <v>#N/A</v>
      </c>
      <c r="D21" s="77" t="e">
        <f t="shared" si="3"/>
        <v>#N/A</v>
      </c>
      <c r="E21" s="69"/>
      <c r="F21" s="77">
        <v>3.15</v>
      </c>
      <c r="G21" s="77" t="e">
        <f t="shared" si="7"/>
        <v>#N/A</v>
      </c>
      <c r="H21" s="77" t="e">
        <f t="shared" si="4"/>
        <v>#N/A</v>
      </c>
      <c r="I21" s="77"/>
      <c r="K21" s="32">
        <v>2.1</v>
      </c>
      <c r="L21" s="77" t="e">
        <f>IF(Q8="",NA(),Q8)</f>
        <v>#N/A</v>
      </c>
      <c r="M21" s="77" t="e">
        <f t="shared" si="5"/>
        <v>#N/A</v>
      </c>
      <c r="N21" s="69"/>
      <c r="O21" s="77">
        <v>3.15</v>
      </c>
      <c r="P21" s="77" t="e">
        <f>IF(P22&gt;$O$31,NA(),P22+$Q$16)</f>
        <v>#N/A</v>
      </c>
      <c r="Q21" s="77" t="e">
        <f t="shared" si="6"/>
        <v>#N/A</v>
      </c>
      <c r="R21" s="77"/>
      <c r="T21" s="59" t="s">
        <v>16</v>
      </c>
      <c r="U21" s="59" t="s">
        <v>17</v>
      </c>
      <c r="V21" s="59" t="s">
        <v>18</v>
      </c>
      <c r="W21" s="59" t="s">
        <v>19</v>
      </c>
      <c r="X21" s="59" t="s">
        <v>20</v>
      </c>
      <c r="Y21" s="59" t="s">
        <v>21</v>
      </c>
      <c r="Z21" s="59" t="s">
        <v>22</v>
      </c>
    </row>
    <row r="22" spans="2:26" x14ac:dyDescent="0.3">
      <c r="B22" s="32">
        <v>2.1</v>
      </c>
      <c r="C22" s="77" t="e">
        <f>IF(D8="",NA(),D8)</f>
        <v>#N/A</v>
      </c>
      <c r="D22" s="77" t="e">
        <f t="shared" si="3"/>
        <v>#N/A</v>
      </c>
      <c r="E22" s="69"/>
      <c r="F22" s="77">
        <v>3.15</v>
      </c>
      <c r="G22" s="77" t="e">
        <f t="shared" si="7"/>
        <v>#N/A</v>
      </c>
      <c r="H22" s="77" t="e">
        <f>G22-$G$23</f>
        <v>#N/A</v>
      </c>
      <c r="I22" s="77"/>
      <c r="K22" s="32">
        <v>2.1</v>
      </c>
      <c r="L22" s="77" t="e">
        <f>IF(M8="",NA(),M8)</f>
        <v>#N/A</v>
      </c>
      <c r="M22" s="77" t="e">
        <f t="shared" si="5"/>
        <v>#N/A</v>
      </c>
      <c r="N22" s="69"/>
      <c r="O22" s="77">
        <v>3.15</v>
      </c>
      <c r="P22" s="77" t="e">
        <f>IF(P23&gt;$O$31,NA(),P23+$Q$16)</f>
        <v>#N/A</v>
      </c>
      <c r="Q22" s="77" t="e">
        <f t="shared" si="6"/>
        <v>#N/A</v>
      </c>
      <c r="R22" s="77"/>
      <c r="T22" s="27" t="e">
        <f>W17/(4*V17)</f>
        <v>#VALUE!</v>
      </c>
      <c r="U22" s="27" t="e">
        <f>V17/(2*T22^2)</f>
        <v>#VALUE!</v>
      </c>
      <c r="V22" s="27" t="e">
        <f>U17-(U22*T22)</f>
        <v>#VALUE!</v>
      </c>
      <c r="W22" s="27" t="e">
        <f>2*GAMMAINV((1-$Q$4/100)/2,U22/2,1)</f>
        <v>#VALUE!</v>
      </c>
      <c r="X22" s="27" t="e">
        <f>2*GAMMAINV(1-(1-$Q$4/100)/2,U22/2,1)</f>
        <v>#VALUE!</v>
      </c>
      <c r="Y22" s="27" t="e">
        <f>IF(F40&gt;0,V22+(T22*W22),V22+(T22*X22))</f>
        <v>#VALUE!</v>
      </c>
      <c r="Z22" s="27" t="e">
        <f>IF(F40&gt;0,V22+(T22*X22),V22+(T22*W22))</f>
        <v>#VALUE!</v>
      </c>
    </row>
    <row r="23" spans="2:26" x14ac:dyDescent="0.3">
      <c r="B23" s="32">
        <v>2.1</v>
      </c>
      <c r="C23" s="77" t="e">
        <f>IF(G8="",NA(),G8)</f>
        <v>#N/A</v>
      </c>
      <c r="D23" s="77" t="e">
        <f t="shared" si="3"/>
        <v>#N/A</v>
      </c>
      <c r="E23" s="69"/>
      <c r="F23" s="77">
        <v>3.15</v>
      </c>
      <c r="G23" s="77" t="e">
        <f>C19</f>
        <v>#N/A</v>
      </c>
      <c r="H23" s="77" t="e">
        <f>G23-$G$23</f>
        <v>#N/A</v>
      </c>
      <c r="K23" s="32">
        <v>2.1</v>
      </c>
      <c r="L23" s="77" t="e">
        <f>IF(P8="",NA(),P8)</f>
        <v>#N/A</v>
      </c>
      <c r="M23" s="77" t="e">
        <f t="shared" si="5"/>
        <v>#N/A</v>
      </c>
      <c r="N23" s="69"/>
      <c r="O23" s="77">
        <v>3.15</v>
      </c>
      <c r="P23" s="77" t="e">
        <f>L19</f>
        <v>#N/A</v>
      </c>
      <c r="Q23" s="77" t="e">
        <f t="shared" si="6"/>
        <v>#N/A</v>
      </c>
      <c r="T23" s="29" t="e">
        <f>W18/(4*V18)</f>
        <v>#VALUE!</v>
      </c>
      <c r="U23" s="29" t="e">
        <f>V18/(2*T23^2)</f>
        <v>#VALUE!</v>
      </c>
      <c r="V23" s="29" t="e">
        <f>U18-(U23*T23)</f>
        <v>#VALUE!</v>
      </c>
      <c r="W23" s="29" t="e">
        <f>2*GAMMAINV((1-$Q$4/100)/2,U23/2,1)</f>
        <v>#VALUE!</v>
      </c>
      <c r="X23" s="29" t="e">
        <f>2*GAMMAINV(1-(1-$Q$4/100)/2,U23/2,1)</f>
        <v>#VALUE!</v>
      </c>
      <c r="Y23" s="29" t="e">
        <f>IF(F41&gt;0,V23+(T23*W23),V23+(T23*X23))</f>
        <v>#VALUE!</v>
      </c>
      <c r="Z23" s="29" t="e">
        <f>IF(F41&gt;0,V23+(T23*X23),V23+(T23*W23))</f>
        <v>#VALUE!</v>
      </c>
    </row>
    <row r="24" spans="2:26" ht="15" thickBot="1" x14ac:dyDescent="0.35">
      <c r="B24" s="32">
        <v>2.75</v>
      </c>
      <c r="C24" s="77" t="e">
        <f>IF(H11="",NA(),H11+C25-D11)</f>
        <v>#N/A</v>
      </c>
      <c r="D24" s="77" t="str">
        <f>H11</f>
        <v/>
      </c>
      <c r="E24" s="106"/>
      <c r="F24" s="77">
        <v>3.15</v>
      </c>
      <c r="G24" s="77" t="e">
        <f>IF(G23&lt;$F$32,NA(),G23-$H$16)</f>
        <v>#N/A</v>
      </c>
      <c r="H24" s="77" t="e">
        <f>G24-$G$23</f>
        <v>#N/A</v>
      </c>
      <c r="K24" s="32">
        <v>2.75</v>
      </c>
      <c r="L24" s="77" t="e">
        <f>IF(Q11="",NA(),Q11+L25-M11)</f>
        <v>#N/A</v>
      </c>
      <c r="M24" s="77" t="str">
        <f>Q11</f>
        <v/>
      </c>
      <c r="N24" s="106"/>
      <c r="O24" s="77">
        <v>3.15</v>
      </c>
      <c r="P24" s="77" t="e">
        <f>IF(P23&lt;$O$32,NA(),P23-$Q$16)</f>
        <v>#N/A</v>
      </c>
      <c r="Q24" s="77" t="e">
        <f t="shared" si="6"/>
        <v>#N/A</v>
      </c>
      <c r="T24" s="29" t="e">
        <f>W19/(4*V19)</f>
        <v>#VALUE!</v>
      </c>
      <c r="U24" s="29" t="e">
        <f>V19/(2*T24^2)</f>
        <v>#VALUE!</v>
      </c>
      <c r="V24" s="29" t="e">
        <f>U19-(U24*T24)</f>
        <v>#VALUE!</v>
      </c>
      <c r="W24" s="29" t="e">
        <f>2*GAMMAINV((1-$Q$4/100)/2,U24/2,1)</f>
        <v>#VALUE!</v>
      </c>
      <c r="X24" s="29" t="e">
        <f>2*GAMMAINV(1-(1-$Q$4/100)/2,U24/2,1)</f>
        <v>#VALUE!</v>
      </c>
      <c r="Y24" s="29" t="e">
        <f>IF(F44&gt;0,V24+(T24*W24),V24+(T24*X24))</f>
        <v>#VALUE!</v>
      </c>
      <c r="Z24" s="29" t="e">
        <f>IF(F44&gt;0,V24+(T24*X24),V24+(T24*W24))</f>
        <v>#VALUE!</v>
      </c>
    </row>
    <row r="25" spans="2:26" ht="15" thickBot="1" x14ac:dyDescent="0.35">
      <c r="B25" s="32">
        <v>2.75</v>
      </c>
      <c r="C25" s="77" t="e">
        <f>IF(D11="",NA(),C22)</f>
        <v>#N/A</v>
      </c>
      <c r="D25" s="77" t="str">
        <f>D11</f>
        <v/>
      </c>
      <c r="E25" s="106"/>
      <c r="F25" s="77">
        <v>3.15</v>
      </c>
      <c r="G25" s="77" t="e">
        <f>IF(G24&lt;$F$32,NA(),G24-$H$16)</f>
        <v>#N/A</v>
      </c>
      <c r="H25" s="77" t="e">
        <f t="shared" ref="H25:H28" si="8">G25-$G$23</f>
        <v>#N/A</v>
      </c>
      <c r="K25" s="32">
        <v>2.75</v>
      </c>
      <c r="L25" s="77" t="e">
        <f>IF(M11="",NA(),L22)</f>
        <v>#N/A</v>
      </c>
      <c r="M25" s="77" t="str">
        <f>M11</f>
        <v/>
      </c>
      <c r="N25" s="106"/>
      <c r="O25" s="77">
        <v>3.15</v>
      </c>
      <c r="P25" s="77" t="e">
        <f>IF(P24&lt;$O$32,NA(),P24-$Q$16)</f>
        <v>#N/A</v>
      </c>
      <c r="Q25" s="77" t="e">
        <f t="shared" si="6"/>
        <v>#N/A</v>
      </c>
      <c r="T25" s="8"/>
      <c r="U25" s="8"/>
      <c r="V25" s="8"/>
      <c r="W25" s="8"/>
      <c r="X25" s="8"/>
      <c r="Y25" s="8"/>
      <c r="Z25" s="8"/>
    </row>
    <row r="26" spans="2:26" ht="15" thickBot="1" x14ac:dyDescent="0.35">
      <c r="B26" s="32">
        <v>2.75</v>
      </c>
      <c r="C26" s="77" t="e">
        <f>IF(G11="",NA(),G11+C25-D11)</f>
        <v>#N/A</v>
      </c>
      <c r="D26" s="77" t="str">
        <f>G11</f>
        <v/>
      </c>
      <c r="E26" s="69"/>
      <c r="F26" s="77">
        <v>3.15</v>
      </c>
      <c r="G26" s="77" t="e">
        <f t="shared" ref="G26:G28" si="9">IF(G25&lt;$F$32,NA(),G25-$H$16)</f>
        <v>#N/A</v>
      </c>
      <c r="H26" s="77" t="e">
        <f t="shared" si="8"/>
        <v>#N/A</v>
      </c>
      <c r="K26" s="32">
        <v>2.75</v>
      </c>
      <c r="L26" s="77" t="e">
        <f>IF(P11="",NA(),P11+L25-M11)</f>
        <v>#N/A</v>
      </c>
      <c r="M26" s="77" t="str">
        <f>P11</f>
        <v/>
      </c>
      <c r="N26" s="69"/>
      <c r="O26" s="77">
        <v>3.15</v>
      </c>
      <c r="P26" s="77" t="e">
        <f>IF(P25&lt;$O$32,NA(),P25-$Q$16)</f>
        <v>#N/A</v>
      </c>
      <c r="Q26" s="77" t="e">
        <f t="shared" si="6"/>
        <v>#N/A</v>
      </c>
      <c r="V26" s="59" t="s">
        <v>68</v>
      </c>
      <c r="W26" s="59" t="s">
        <v>69</v>
      </c>
      <c r="X26" s="59" t="s">
        <v>70</v>
      </c>
      <c r="Y26" s="59" t="s">
        <v>21</v>
      </c>
      <c r="Z26" s="59" t="s">
        <v>22</v>
      </c>
    </row>
    <row r="27" spans="2:26" x14ac:dyDescent="0.3">
      <c r="B27" s="69"/>
      <c r="C27" s="77"/>
      <c r="D27" s="77"/>
      <c r="E27" s="69"/>
      <c r="F27" s="77">
        <v>3.15</v>
      </c>
      <c r="G27" s="77" t="e">
        <f t="shared" si="9"/>
        <v>#N/A</v>
      </c>
      <c r="H27" s="77" t="e">
        <f t="shared" si="8"/>
        <v>#N/A</v>
      </c>
      <c r="K27" s="69"/>
      <c r="L27" s="77"/>
      <c r="M27" s="77"/>
      <c r="N27" s="69"/>
      <c r="O27" s="77">
        <v>3.15</v>
      </c>
      <c r="P27" s="77" t="e">
        <f>IF(P26&lt;$O$32,NA(),P26-$Q$16)</f>
        <v>#N/A</v>
      </c>
      <c r="Q27" s="77" t="e">
        <f t="shared" si="6"/>
        <v>#N/A</v>
      </c>
      <c r="V27" s="28" t="e">
        <f>SQRT(V17)</f>
        <v>#VALUE!</v>
      </c>
      <c r="W27" s="28">
        <f>NORMINV((1-$Q$4/100)/2,0,1)</f>
        <v>-1.9599639845400536</v>
      </c>
      <c r="X27" s="28">
        <f>NORMINV(1-(1-$Q$4/100)/2,0,1)</f>
        <v>1.9599639845400536</v>
      </c>
      <c r="Y27" s="28" t="e">
        <f>U17+W27*V27</f>
        <v>#VALUE!</v>
      </c>
      <c r="Z27" s="28" t="e">
        <f>U17+X27*V27</f>
        <v>#VALUE!</v>
      </c>
    </row>
    <row r="28" spans="2:26" x14ac:dyDescent="0.3">
      <c r="B28" s="69"/>
      <c r="C28" s="69"/>
      <c r="D28" s="77"/>
      <c r="E28" s="69"/>
      <c r="F28" s="77">
        <v>3.15</v>
      </c>
      <c r="G28" s="77" t="e">
        <f t="shared" si="9"/>
        <v>#N/A</v>
      </c>
      <c r="H28" s="77" t="e">
        <f t="shared" si="8"/>
        <v>#N/A</v>
      </c>
      <c r="I28" s="77"/>
      <c r="K28" s="69"/>
      <c r="L28" s="69"/>
      <c r="M28" s="77"/>
      <c r="N28" s="69"/>
      <c r="O28" s="77">
        <v>3.15</v>
      </c>
      <c r="P28" s="77" t="e">
        <f>IF(P27&lt;$O$32,NA(),P27-$Q$16)</f>
        <v>#N/A</v>
      </c>
      <c r="Q28" s="77" t="e">
        <f t="shared" si="6"/>
        <v>#N/A</v>
      </c>
      <c r="R28" s="77"/>
      <c r="V28" s="28" t="e">
        <f>SQRT(V18)</f>
        <v>#VALUE!</v>
      </c>
      <c r="W28" s="28">
        <f>NORMINV((1-$Q$4/100)/2,0,1)</f>
        <v>-1.9599639845400536</v>
      </c>
      <c r="X28" s="28">
        <f>NORMINV(1-(1-$Q$4/100)/2,0,1)</f>
        <v>1.9599639845400536</v>
      </c>
      <c r="Y28" s="28" t="e">
        <f>U18+W28*V28</f>
        <v>#VALUE!</v>
      </c>
      <c r="Z28" s="28" t="e">
        <f>U18+X28*V28</f>
        <v>#VALUE!</v>
      </c>
    </row>
    <row r="29" spans="2:26" ht="15" thickBot="1" x14ac:dyDescent="0.35">
      <c r="B29" s="69"/>
      <c r="C29" s="69"/>
      <c r="D29" s="77"/>
      <c r="E29" s="69"/>
      <c r="F29" s="69"/>
      <c r="G29" s="69"/>
      <c r="H29" s="69"/>
      <c r="K29" s="69"/>
      <c r="L29" s="69"/>
      <c r="M29" s="77"/>
      <c r="N29" s="69"/>
      <c r="O29" s="69"/>
      <c r="P29" s="69"/>
      <c r="Q29" s="69"/>
      <c r="V29" s="28" t="e">
        <f>SQRT(V19)</f>
        <v>#VALUE!</v>
      </c>
      <c r="W29" s="28">
        <f>NORMINV((1-$Q$4/100)/2,0,1)</f>
        <v>-1.9599639845400536</v>
      </c>
      <c r="X29" s="28">
        <f>NORMINV(1-(1-$Q$4/100)/2,0,1)</f>
        <v>1.9599639845400536</v>
      </c>
      <c r="Y29" s="28" t="e">
        <f>U19+W29*V29</f>
        <v>#VALUE!</v>
      </c>
      <c r="Z29" s="28" t="e">
        <f>U19+X29*V29</f>
        <v>#VALUE!</v>
      </c>
    </row>
    <row r="30" spans="2:26" x14ac:dyDescent="0.3">
      <c r="B30" s="105" t="s">
        <v>81</v>
      </c>
      <c r="C30" s="69"/>
      <c r="D30" s="69"/>
      <c r="E30" s="69"/>
      <c r="F30" s="69" t="s">
        <v>83</v>
      </c>
      <c r="G30" s="69"/>
      <c r="H30" s="69"/>
      <c r="K30" s="105" t="s">
        <v>81</v>
      </c>
      <c r="L30" s="69"/>
      <c r="M30" s="69"/>
      <c r="N30" s="69"/>
      <c r="O30" s="69" t="s">
        <v>83</v>
      </c>
      <c r="P30" s="69"/>
      <c r="Q30" s="69"/>
      <c r="V30" s="8"/>
      <c r="W30" s="8"/>
      <c r="X30" s="8"/>
      <c r="Y30" s="8"/>
      <c r="Z30" s="8"/>
    </row>
    <row r="31" spans="2:26" x14ac:dyDescent="0.3">
      <c r="B31" s="32">
        <v>1.1000000000000001</v>
      </c>
      <c r="C31" s="77" t="e">
        <f>C19</f>
        <v>#N/A</v>
      </c>
      <c r="D31" s="32">
        <v>2.1</v>
      </c>
      <c r="E31" s="77" t="e">
        <f>C22</f>
        <v>#N/A</v>
      </c>
      <c r="F31" s="77" t="e">
        <f>MAX(C$18:C$26)</f>
        <v>#N/A</v>
      </c>
      <c r="G31" s="77" t="e">
        <f>IF(F31-F32=0,1,F31-F32)</f>
        <v>#N/A</v>
      </c>
      <c r="H31" s="77" t="e">
        <f>ROUNDUP(G31/G32,0)</f>
        <v>#N/A</v>
      </c>
      <c r="K31" s="32">
        <v>1.1000000000000001</v>
      </c>
      <c r="L31" s="77" t="e">
        <f>L19</f>
        <v>#N/A</v>
      </c>
      <c r="M31" s="32">
        <v>2.1</v>
      </c>
      <c r="N31" s="77" t="e">
        <f>L22</f>
        <v>#N/A</v>
      </c>
      <c r="O31" s="77" t="e">
        <f>MAX(L$18:L$26)</f>
        <v>#N/A</v>
      </c>
      <c r="P31" s="77" t="e">
        <f>IF(O31-O32=0,1,O31-O32)</f>
        <v>#N/A</v>
      </c>
      <c r="Q31" s="77" t="e">
        <f>ROUNDUP(P31/P32,0)</f>
        <v>#N/A</v>
      </c>
    </row>
    <row r="32" spans="2:26" x14ac:dyDescent="0.3">
      <c r="B32" s="32">
        <v>3.15</v>
      </c>
      <c r="C32" s="77" t="e">
        <f>C19</f>
        <v>#N/A</v>
      </c>
      <c r="D32" s="32">
        <v>3.15</v>
      </c>
      <c r="E32" s="77" t="e">
        <f>C22</f>
        <v>#N/A</v>
      </c>
      <c r="F32" s="77" t="e">
        <f>MIN(C$18:C$26)</f>
        <v>#N/A</v>
      </c>
      <c r="G32" s="77" t="e">
        <f>POWER(10,INT(LOG10(G31)))</f>
        <v>#N/A</v>
      </c>
      <c r="H32" s="77" t="e">
        <f>CHOOSE(H31,10,5,5,2,2,2,2,1,1,1)</f>
        <v>#N/A</v>
      </c>
      <c r="K32" s="32">
        <v>3.15</v>
      </c>
      <c r="L32" s="77" t="e">
        <f>L19</f>
        <v>#N/A</v>
      </c>
      <c r="M32" s="32">
        <v>3.15</v>
      </c>
      <c r="N32" s="77" t="e">
        <f>L22</f>
        <v>#N/A</v>
      </c>
      <c r="O32" s="77" t="e">
        <f>MIN(L$18:L$26)</f>
        <v>#N/A</v>
      </c>
      <c r="P32" s="77" t="e">
        <f>POWER(10,INT(LOG10(P31)))</f>
        <v>#N/A</v>
      </c>
      <c r="Q32" s="77" t="e">
        <f>CHOOSE(Q31,1,0.5,0.5,0.2,0.2,0.2,0.2,0.1,0.1,0.1)</f>
        <v>#N/A</v>
      </c>
    </row>
    <row r="33" spans="2:17" x14ac:dyDescent="0.3">
      <c r="B33" s="32"/>
      <c r="C33" s="77"/>
      <c r="D33" s="32"/>
      <c r="E33" s="77"/>
      <c r="F33" s="69"/>
      <c r="G33" s="69"/>
      <c r="H33" s="69"/>
      <c r="K33" s="32"/>
      <c r="L33" s="77"/>
      <c r="M33" s="32"/>
      <c r="N33" s="77"/>
      <c r="O33" s="69"/>
      <c r="P33" s="69"/>
      <c r="Q33" s="69"/>
    </row>
    <row r="34" spans="2:17" x14ac:dyDescent="0.3">
      <c r="B34" s="32"/>
      <c r="C34" s="77"/>
      <c r="D34" s="32"/>
      <c r="E34" s="77"/>
      <c r="F34" s="77"/>
      <c r="G34" s="77"/>
      <c r="H34" s="28"/>
      <c r="K34" s="32"/>
      <c r="L34" s="77"/>
      <c r="M34" s="32"/>
      <c r="N34" s="77"/>
      <c r="O34" s="77" t="e">
        <f>MAX($C$18:$C$26)</f>
        <v>#N/A</v>
      </c>
      <c r="P34" s="77" t="e">
        <f>IF(O34-O35=0,1,O34-O35)</f>
        <v>#N/A</v>
      </c>
      <c r="Q34" s="28" t="e">
        <f>P34/9</f>
        <v>#N/A</v>
      </c>
    </row>
    <row r="35" spans="2:17" x14ac:dyDescent="0.3">
      <c r="B35" s="32"/>
      <c r="C35" s="77"/>
      <c r="D35" s="32"/>
      <c r="E35" s="77"/>
      <c r="F35" s="77"/>
      <c r="G35" s="28"/>
      <c r="H35" s="28"/>
      <c r="K35" s="32"/>
      <c r="L35" s="77"/>
      <c r="M35" s="32"/>
      <c r="N35" s="77"/>
      <c r="O35" s="77" t="e">
        <f>MIN($C$18:$C$26)</f>
        <v>#N/A</v>
      </c>
      <c r="P35" s="28" t="e">
        <f>O34+P34/20</f>
        <v>#N/A</v>
      </c>
      <c r="Q35" s="28" t="e">
        <f>ROUNDUP(Q34,0)</f>
        <v>#N/A</v>
      </c>
    </row>
    <row r="36" spans="2:17" x14ac:dyDescent="0.3">
      <c r="B36" s="32"/>
      <c r="C36" s="77"/>
      <c r="D36" s="32"/>
      <c r="E36" s="77"/>
      <c r="F36" s="77"/>
      <c r="G36" s="28"/>
      <c r="H36" s="28"/>
      <c r="K36" s="32"/>
      <c r="L36" s="77"/>
      <c r="M36" s="32"/>
      <c r="N36" s="77"/>
      <c r="O36" s="77"/>
      <c r="P36" s="28"/>
      <c r="Q36" s="28"/>
    </row>
    <row r="37" spans="2:17" ht="15.6" x14ac:dyDescent="0.3">
      <c r="B37" s="46" t="s">
        <v>117</v>
      </c>
      <c r="K37" s="46" t="s">
        <v>119</v>
      </c>
      <c r="L37" s="3"/>
      <c r="M37" s="3"/>
      <c r="N37" s="3"/>
      <c r="O37" s="3"/>
      <c r="P37" s="3"/>
      <c r="Q37" s="3"/>
    </row>
    <row r="38" spans="2:17" ht="15" thickBot="1" x14ac:dyDescent="0.35">
      <c r="K38" s="3"/>
      <c r="L38" s="3"/>
      <c r="M38" s="3"/>
      <c r="N38" s="3"/>
      <c r="O38" s="3"/>
      <c r="P38" s="3"/>
      <c r="Q38" s="3"/>
    </row>
    <row r="39" spans="2:17" ht="15" thickBot="1" x14ac:dyDescent="0.35">
      <c r="B39" s="51" t="s">
        <v>0</v>
      </c>
      <c r="C39" s="51" t="s">
        <v>37</v>
      </c>
      <c r="D39" s="51" t="s">
        <v>53</v>
      </c>
      <c r="E39" s="51" t="s">
        <v>84</v>
      </c>
      <c r="F39" s="51" t="s">
        <v>11</v>
      </c>
      <c r="G39" s="51" t="s">
        <v>2</v>
      </c>
      <c r="H39" s="51" t="s">
        <v>52</v>
      </c>
      <c r="K39" s="51" t="s">
        <v>0</v>
      </c>
      <c r="L39" s="48" t="s">
        <v>41</v>
      </c>
      <c r="M39" s="3"/>
      <c r="N39" s="3"/>
      <c r="O39" s="3"/>
      <c r="P39" s="3"/>
      <c r="Q39" s="3"/>
    </row>
    <row r="40" spans="2:17" x14ac:dyDescent="0.3">
      <c r="B40" s="53">
        <f>IF(B7="","",B7)</f>
        <v>2</v>
      </c>
      <c r="C40" s="103"/>
      <c r="D40" s="27" t="str">
        <f>IFERROR(D7-C40,"")</f>
        <v/>
      </c>
      <c r="E40" s="27" t="str">
        <f>IFERROR(E7/SQRT(C7),"")</f>
        <v/>
      </c>
      <c r="F40" s="27" t="str">
        <f>IFERROR(D40/E40,"")</f>
        <v/>
      </c>
      <c r="G40" s="58" t="str">
        <f>IF(C7&lt;&gt;"",C7-1,"")</f>
        <v/>
      </c>
      <c r="H40" s="27" t="str">
        <f>IFERROR(IF(TDIST(ABS(F40),G40,2)&lt;0.001,"&lt; 0.001",TDIST(ABS(F40),G40,2)),"")</f>
        <v/>
      </c>
      <c r="K40" s="53">
        <f>K7</f>
        <v>2</v>
      </c>
      <c r="L40" s="78" t="s">
        <v>120</v>
      </c>
      <c r="M40" s="3"/>
      <c r="N40" s="3"/>
      <c r="O40" s="3"/>
      <c r="P40" s="3"/>
      <c r="Q40" s="3"/>
    </row>
    <row r="41" spans="2:17" ht="15" thickBot="1" x14ac:dyDescent="0.35">
      <c r="B41" s="80">
        <f>IF(B8="","",B8)</f>
        <v>1</v>
      </c>
      <c r="C41" s="104"/>
      <c r="D41" s="49" t="str">
        <f>IFERROR(D8-C41,"")</f>
        <v/>
      </c>
      <c r="E41" s="49" t="str">
        <f>IFERROR(E8/SQRT(C8),"")</f>
        <v/>
      </c>
      <c r="F41" s="49" t="str">
        <f t="shared" ref="F41:F44" si="10">IFERROR(D41/E41,"")</f>
        <v/>
      </c>
      <c r="G41" s="81" t="str">
        <f>IF(C8&lt;&gt;"",C8-1,"")</f>
        <v/>
      </c>
      <c r="H41" s="49" t="str">
        <f>IFERROR(IF(TDIST(ABS(F41),G41,2)&lt;0.001,"&lt; 0.001",TDIST(ABS(F41),G41,2)),"")</f>
        <v/>
      </c>
      <c r="K41" s="80">
        <f>K8</f>
        <v>1</v>
      </c>
      <c r="L41" s="79" t="s">
        <v>120</v>
      </c>
      <c r="M41" s="3"/>
      <c r="N41" s="3"/>
      <c r="O41" s="3"/>
      <c r="P41" s="3"/>
      <c r="Q41" s="3"/>
    </row>
    <row r="42" spans="2:17" ht="15" thickBot="1" x14ac:dyDescent="0.35">
      <c r="B42" s="8"/>
      <c r="C42" s="7"/>
      <c r="D42" s="8"/>
      <c r="E42" s="8"/>
      <c r="F42" s="8"/>
      <c r="G42" s="8"/>
      <c r="H42" s="8"/>
      <c r="K42" s="8"/>
      <c r="L42" s="7"/>
      <c r="M42" s="3"/>
      <c r="N42" s="3"/>
      <c r="O42" s="3"/>
      <c r="P42" s="3"/>
      <c r="Q42" s="3"/>
    </row>
    <row r="43" spans="2:17" ht="15" thickBot="1" x14ac:dyDescent="0.35">
      <c r="B43" s="51" t="s">
        <v>115</v>
      </c>
      <c r="C43" s="48" t="s">
        <v>37</v>
      </c>
      <c r="D43" s="51" t="s">
        <v>53</v>
      </c>
      <c r="E43" s="51" t="s">
        <v>84</v>
      </c>
      <c r="F43" s="51" t="s">
        <v>11</v>
      </c>
      <c r="G43" s="51" t="s">
        <v>2</v>
      </c>
      <c r="H43" s="51" t="s">
        <v>52</v>
      </c>
      <c r="K43" s="51" t="s">
        <v>115</v>
      </c>
      <c r="L43" s="48" t="s">
        <v>41</v>
      </c>
      <c r="M43" s="3"/>
      <c r="N43" s="3"/>
      <c r="O43" s="3"/>
      <c r="P43" s="3"/>
      <c r="Q43" s="3"/>
    </row>
    <row r="44" spans="2:17" ht="15" thickBot="1" x14ac:dyDescent="0.35">
      <c r="B44" s="100" t="s">
        <v>71</v>
      </c>
      <c r="C44" s="109"/>
      <c r="D44" s="101" t="str">
        <f>IFERROR(D11-C44,"")</f>
        <v/>
      </c>
      <c r="E44" s="101" t="str">
        <f>IFERROR(SQRT((E11^2/C7)+(E11^2/C8)),"")</f>
        <v/>
      </c>
      <c r="F44" s="101" t="str">
        <f t="shared" si="10"/>
        <v/>
      </c>
      <c r="G44" s="102" t="str">
        <f>IFERROR(C7+C8-2,"")</f>
        <v/>
      </c>
      <c r="H44" s="101" t="str">
        <f>IFERROR(IF(TDIST(ABS(F44),G44,2)&lt;0.001,"&lt; 0.001",TDIST(ABS(F44),G44,2)),"")</f>
        <v/>
      </c>
      <c r="K44" s="100" t="s">
        <v>71</v>
      </c>
      <c r="L44" s="79" t="s">
        <v>120</v>
      </c>
      <c r="M44" s="3"/>
      <c r="N44" s="3"/>
      <c r="O44" s="3"/>
      <c r="P44" s="3"/>
      <c r="Q44" s="3"/>
    </row>
    <row r="45" spans="2:17" x14ac:dyDescent="0.3">
      <c r="B45" s="8"/>
      <c r="C45" s="8"/>
      <c r="D45" s="8"/>
      <c r="E45" s="8"/>
      <c r="F45" s="8"/>
      <c r="G45" s="8"/>
      <c r="H45" s="8"/>
      <c r="K45" s="8"/>
      <c r="L45" s="2"/>
      <c r="M45" s="3"/>
      <c r="N45" s="3"/>
      <c r="O45" s="3"/>
      <c r="P45" s="3"/>
      <c r="Q45" s="3"/>
    </row>
  </sheetData>
  <sheetProtection sheet="1" selectLockedCells="1"/>
  <mergeCells count="7">
    <mergeCell ref="T2:Z2"/>
    <mergeCell ref="G10:H10"/>
    <mergeCell ref="P10:Q10"/>
    <mergeCell ref="G6:H6"/>
    <mergeCell ref="P6:Q6"/>
    <mergeCell ref="B2:H2"/>
    <mergeCell ref="K2:Q2"/>
  </mergeCells>
  <printOptions horizontalCentered="1"/>
  <pageMargins left="0.7" right="0.7" top="0.75" bottom="0.75" header="0.3" footer="0.3"/>
  <pageSetup orientation="portrait" r:id="rId1"/>
  <headerFooter>
    <oddHeader>&amp;LEASE: Estimation Approach to Statistics with Excel&amp;RDesign: Single Factor, Between-Subjects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2:AA53"/>
  <sheetViews>
    <sheetView showRuler="0" zoomScaleNormal="100" workbookViewId="0">
      <selection activeCell="L40" sqref="L40:L45"/>
    </sheetView>
  </sheetViews>
  <sheetFormatPr defaultColWidth="11.109375" defaultRowHeight="14.4" x14ac:dyDescent="0.3"/>
  <cols>
    <col min="1" max="1" width="4.5546875" style="3" customWidth="1"/>
    <col min="2" max="8" width="11.109375" style="3"/>
    <col min="9" max="9" width="4.5546875" style="3" customWidth="1"/>
    <col min="10" max="10" width="4.5546875" customWidth="1"/>
    <col min="11" max="17" width="11.109375" customWidth="1"/>
    <col min="18" max="18" width="4.5546875" customWidth="1"/>
    <col min="19" max="19" width="4.5546875" hidden="1" customWidth="1"/>
    <col min="20" max="26" width="0" hidden="1" customWidth="1"/>
    <col min="27" max="27" width="4.5546875" hidden="1" customWidth="1"/>
  </cols>
  <sheetData>
    <row r="2" spans="1:26" ht="15" customHeight="1" x14ac:dyDescent="0.3">
      <c r="A2"/>
      <c r="B2" s="122" t="s">
        <v>46</v>
      </c>
      <c r="C2" s="122"/>
      <c r="D2" s="122"/>
      <c r="E2" s="122"/>
      <c r="F2" s="122"/>
      <c r="G2" s="122"/>
      <c r="H2" s="122"/>
      <c r="I2"/>
      <c r="K2" s="122" t="s">
        <v>47</v>
      </c>
      <c r="L2" s="122"/>
      <c r="M2" s="122"/>
      <c r="N2" s="122"/>
      <c r="O2" s="122"/>
      <c r="P2" s="122"/>
      <c r="Q2" s="122"/>
      <c r="T2" s="122" t="s">
        <v>64</v>
      </c>
      <c r="U2" s="122"/>
      <c r="V2" s="122"/>
      <c r="W2" s="122"/>
      <c r="X2" s="122"/>
      <c r="Y2" s="122"/>
      <c r="Z2" s="122"/>
    </row>
    <row r="3" spans="1:26" x14ac:dyDescent="0.3">
      <c r="A3"/>
      <c r="B3"/>
      <c r="C3"/>
      <c r="D3"/>
      <c r="E3"/>
      <c r="F3"/>
      <c r="G3"/>
      <c r="H3"/>
    </row>
    <row r="4" spans="1:26" ht="15.6" x14ac:dyDescent="0.3">
      <c r="B4" s="6" t="s">
        <v>116</v>
      </c>
      <c r="G4" s="5" t="s">
        <v>40</v>
      </c>
      <c r="H4" s="31">
        <v>95</v>
      </c>
      <c r="K4" s="6" t="s">
        <v>116</v>
      </c>
      <c r="L4" s="3"/>
      <c r="M4" s="3"/>
      <c r="N4" s="3"/>
      <c r="O4" s="3"/>
      <c r="P4" s="5" t="s">
        <v>40</v>
      </c>
      <c r="Q4" s="31">
        <v>95</v>
      </c>
      <c r="T4" s="46" t="s">
        <v>114</v>
      </c>
    </row>
    <row r="5" spans="1:26" ht="15" thickBot="1" x14ac:dyDescent="0.35">
      <c r="J5" s="3"/>
      <c r="K5" s="3"/>
      <c r="L5" s="3"/>
      <c r="M5" s="3"/>
      <c r="N5" s="3"/>
      <c r="O5" s="3"/>
      <c r="P5" s="3"/>
      <c r="Q5" s="3"/>
    </row>
    <row r="6" spans="1:26" ht="15" thickBot="1" x14ac:dyDescent="0.35">
      <c r="B6" s="48" t="s">
        <v>4</v>
      </c>
      <c r="C6" s="48" t="str">
        <f t="shared" ref="C6:C12" si="0">G39</f>
        <v>df</v>
      </c>
      <c r="D6" s="48" t="s">
        <v>86</v>
      </c>
      <c r="E6" s="48" t="s">
        <v>68</v>
      </c>
      <c r="F6" s="48" t="s">
        <v>84</v>
      </c>
      <c r="G6" s="131" t="s">
        <v>85</v>
      </c>
      <c r="H6" s="131"/>
      <c r="J6" s="3"/>
      <c r="K6" s="48" t="s">
        <v>4</v>
      </c>
      <c r="L6" s="48" t="s">
        <v>3</v>
      </c>
      <c r="M6" s="48" t="s">
        <v>25</v>
      </c>
      <c r="N6" s="48" t="s">
        <v>2</v>
      </c>
      <c r="O6" s="48" t="s">
        <v>84</v>
      </c>
      <c r="P6" s="131" t="s">
        <v>65</v>
      </c>
      <c r="Q6" s="131"/>
      <c r="T6" s="48" t="s">
        <v>4</v>
      </c>
      <c r="U6" s="51" t="s">
        <v>113</v>
      </c>
      <c r="V6" s="51" t="s">
        <v>53</v>
      </c>
      <c r="W6" s="48" t="s">
        <v>84</v>
      </c>
      <c r="X6" s="59" t="s">
        <v>11</v>
      </c>
      <c r="Y6" s="48" t="s">
        <v>2</v>
      </c>
      <c r="Z6" s="59" t="s">
        <v>52</v>
      </c>
    </row>
    <row r="7" spans="1:26" x14ac:dyDescent="0.3">
      <c r="B7" s="19" t="str">
        <f>IF(D7="","","1 vs. 2")</f>
        <v/>
      </c>
      <c r="C7" s="42" t="str">
        <f t="shared" si="0"/>
        <v/>
      </c>
      <c r="D7" s="20" t="str">
        <f>IFERROR(Data!U7-Data!U8,"")</f>
        <v/>
      </c>
      <c r="E7" s="20" t="str">
        <f>IF(B7="","",SQRT((Data!V7^2*(Data!T7-1)+Data!V8^2*(Data!T8-1))/G40))</f>
        <v/>
      </c>
      <c r="F7" s="20" t="str">
        <f>IF(B7="","",SQRT((E7^2/Data!T7)+(E7^2/Data!T8)))</f>
        <v/>
      </c>
      <c r="G7" s="20" t="str">
        <f t="shared" ref="G7:G12" si="1">IFERROR(D7-TINV(1-$H$4/100,G40)*E40,"")</f>
        <v/>
      </c>
      <c r="H7" s="20" t="str">
        <f t="shared" ref="H7:H12" si="2">IFERROR(D7+TINV(1-$H$4/100,G40)*E40,"")</f>
        <v/>
      </c>
      <c r="J7" s="3"/>
      <c r="K7" s="19" t="str">
        <f t="shared" ref="K7:K12" si="3">B7</f>
        <v/>
      </c>
      <c r="L7" s="20" t="str">
        <f t="shared" ref="L7:L12" si="4">IFERROR(D7/E7,"")</f>
        <v/>
      </c>
      <c r="M7" s="20" t="str">
        <f t="shared" ref="M7:M12" si="5">IFERROR((1-3/(4*G40-1))*L7,"")</f>
        <v/>
      </c>
      <c r="N7" s="42" t="str">
        <f t="shared" ref="N7:N12" si="6">C7</f>
        <v/>
      </c>
      <c r="O7" s="27" t="str">
        <f>IFERROR(SQRT((G40+2)/(Data!T7*Data!T8)+((L7^2)/(2*(G40+2)))),"")</f>
        <v/>
      </c>
      <c r="P7" s="27" t="str">
        <f>IFERROR(Y17*SQRT(1/Data!T7+1/Data!T8),"")</f>
        <v/>
      </c>
      <c r="Q7" s="27" t="str">
        <f>IFERROR(Z17*SQRT(1/Data!T7+1/Data!T8),"")</f>
        <v/>
      </c>
      <c r="T7" s="19" t="str">
        <f>B7</f>
        <v/>
      </c>
      <c r="U7" s="78">
        <v>0</v>
      </c>
      <c r="V7" s="20" t="str">
        <f>IFERROR(D7-U7,"")</f>
        <v/>
      </c>
      <c r="W7" s="20" t="str">
        <f>IF(B7="","",SQRT((E7^2/Data!T7)+(E7^2/Data!T8)))</f>
        <v/>
      </c>
      <c r="X7" s="27" t="str">
        <f>IFERROR(V7/W7,"")</f>
        <v/>
      </c>
      <c r="Y7" s="42" t="str">
        <f>IFERROR(Data!T7+Data!T8-2,"")</f>
        <v/>
      </c>
      <c r="Z7" s="20" t="str">
        <f t="shared" ref="Z7:Z12" si="7">IFERROR(IF(TDIST(ABS(X7),Y7,2)&lt;0.001,"&lt; 0.001",TDIST(ABS(X7),Y7,2)),"")</f>
        <v/>
      </c>
    </row>
    <row r="8" spans="1:26" x14ac:dyDescent="0.3">
      <c r="B8" s="21" t="str">
        <f>IF(D8="","","1 vs. 3")</f>
        <v/>
      </c>
      <c r="C8" s="43" t="str">
        <f t="shared" si="0"/>
        <v/>
      </c>
      <c r="D8" s="22" t="str">
        <f>IFERROR(Data!U7-Data!U9,"")</f>
        <v/>
      </c>
      <c r="E8" s="22" t="str">
        <f>IF(B8="","",SQRT((Data!V7^2*(Data!T7-1)+Data!V9^2*(Data!T9-1))/G41))</f>
        <v/>
      </c>
      <c r="F8" s="22" t="str">
        <f>IF(B8="","",SQRT((E8^2/Data!T7)+(E8^2/Data!T9)))</f>
        <v/>
      </c>
      <c r="G8" s="22" t="str">
        <f t="shared" si="1"/>
        <v/>
      </c>
      <c r="H8" s="22" t="str">
        <f t="shared" si="2"/>
        <v/>
      </c>
      <c r="J8" s="3"/>
      <c r="K8" s="21" t="str">
        <f t="shared" si="3"/>
        <v/>
      </c>
      <c r="L8" s="22" t="str">
        <f t="shared" si="4"/>
        <v/>
      </c>
      <c r="M8" s="22" t="str">
        <f t="shared" si="5"/>
        <v/>
      </c>
      <c r="N8" s="43" t="str">
        <f t="shared" si="6"/>
        <v/>
      </c>
      <c r="O8" s="29" t="str">
        <f>IFERROR(SQRT((G41+2)/(Data!T7*Data!T9)+((L8^2)/(2*(G41+2)))),"")</f>
        <v/>
      </c>
      <c r="P8" s="29" t="str">
        <f>IFERROR(Y18*SQRT(1/Data!T7+1/Data!T9),"")</f>
        <v/>
      </c>
      <c r="Q8" s="29" t="str">
        <f>IFERROR(Z18*SQRT(1/Data!T7+1/Data!T9),"")</f>
        <v/>
      </c>
      <c r="T8" s="21" t="str">
        <f t="shared" ref="T8:T12" si="8">B8</f>
        <v/>
      </c>
      <c r="U8" s="79" t="str">
        <f t="shared" ref="U8:U12" si="9">IF(T8="","",0)</f>
        <v/>
      </c>
      <c r="V8" s="22" t="str">
        <f t="shared" ref="V8:V12" si="10">IFERROR(D8-U8,"")</f>
        <v/>
      </c>
      <c r="W8" s="22" t="str">
        <f>IF(B8="","",SQRT((E8^2/Data!T7)+(E8^2/Data!T9)))</f>
        <v/>
      </c>
      <c r="X8" s="29" t="str">
        <f t="shared" ref="X8:X12" si="11">IFERROR(V8/W8,"")</f>
        <v/>
      </c>
      <c r="Y8" s="43" t="str">
        <f>IFERROR(Data!T7+Data!T9-2,"")</f>
        <v/>
      </c>
      <c r="Z8" s="22" t="str">
        <f t="shared" si="7"/>
        <v/>
      </c>
    </row>
    <row r="9" spans="1:26" x14ac:dyDescent="0.3">
      <c r="B9" s="21" t="str">
        <f>IF(D9="","","2 vs. 3")</f>
        <v/>
      </c>
      <c r="C9" s="43" t="str">
        <f t="shared" si="0"/>
        <v/>
      </c>
      <c r="D9" s="22" t="str">
        <f>IFERROR(Data!U8-Data!U9,"")</f>
        <v/>
      </c>
      <c r="E9" s="22" t="str">
        <f>IF(B9="","",SQRT((Data!V8^2*(Data!T8-1)+Data!V9^2*(Data!T9-1))/G42))</f>
        <v/>
      </c>
      <c r="F9" s="22" t="str">
        <f>IF(B9="","",SQRT((E9^2/Data!T8)+(E9^2/Data!T9)))</f>
        <v/>
      </c>
      <c r="G9" s="22" t="str">
        <f t="shared" si="1"/>
        <v/>
      </c>
      <c r="H9" s="22" t="str">
        <f t="shared" si="2"/>
        <v/>
      </c>
      <c r="J9" s="3"/>
      <c r="K9" s="21" t="str">
        <f t="shared" si="3"/>
        <v/>
      </c>
      <c r="L9" s="22" t="str">
        <f t="shared" si="4"/>
        <v/>
      </c>
      <c r="M9" s="22" t="str">
        <f t="shared" si="5"/>
        <v/>
      </c>
      <c r="N9" s="43" t="str">
        <f t="shared" si="6"/>
        <v/>
      </c>
      <c r="O9" s="29" t="str">
        <f>IFERROR(SQRT((G42+2)/(Data!T8*Data!T9)+((L9^2)/(2*(G42+2)))),"")</f>
        <v/>
      </c>
      <c r="P9" s="29" t="str">
        <f>IFERROR(Y19*SQRT(1/Data!T8+1/Data!T9),"")</f>
        <v/>
      </c>
      <c r="Q9" s="29" t="str">
        <f>IFERROR(Z19*SQRT(1/Data!T8+1/Data!T9),"")</f>
        <v/>
      </c>
      <c r="T9" s="21" t="str">
        <f t="shared" si="8"/>
        <v/>
      </c>
      <c r="U9" s="79" t="str">
        <f t="shared" si="9"/>
        <v/>
      </c>
      <c r="V9" s="22" t="str">
        <f t="shared" si="10"/>
        <v/>
      </c>
      <c r="W9" s="22" t="str">
        <f>IF(B9="","",SQRT((E9^2/Data!T8)+(E9^2/Data!T9)))</f>
        <v/>
      </c>
      <c r="X9" s="29" t="str">
        <f t="shared" si="11"/>
        <v/>
      </c>
      <c r="Y9" s="43" t="str">
        <f>IFERROR(Data!T8+Data!T9-2,"")</f>
        <v/>
      </c>
      <c r="Z9" s="22" t="str">
        <f t="shared" si="7"/>
        <v/>
      </c>
    </row>
    <row r="10" spans="1:26" x14ac:dyDescent="0.3">
      <c r="B10" s="21" t="str">
        <f>IF(D10="","","1 vs. 4")</f>
        <v/>
      </c>
      <c r="C10" s="43" t="str">
        <f t="shared" si="0"/>
        <v/>
      </c>
      <c r="D10" s="22" t="str">
        <f>IFERROR(Data!U7-Data!U10,"")</f>
        <v/>
      </c>
      <c r="E10" s="22" t="str">
        <f>IF(B10="","",SQRT((Data!V7^2*(Data!T7-1)+Data!V10^2*(Data!T10-1))/G43))</f>
        <v/>
      </c>
      <c r="F10" s="22" t="str">
        <f>IF(B10="","",SQRT((E10^2/Data!T7)+(E10^2/Data!T10)))</f>
        <v/>
      </c>
      <c r="G10" s="22" t="str">
        <f t="shared" si="1"/>
        <v/>
      </c>
      <c r="H10" s="22" t="str">
        <f t="shared" si="2"/>
        <v/>
      </c>
      <c r="J10" s="3"/>
      <c r="K10" s="21" t="str">
        <f t="shared" si="3"/>
        <v/>
      </c>
      <c r="L10" s="22" t="str">
        <f t="shared" si="4"/>
        <v/>
      </c>
      <c r="M10" s="22" t="str">
        <f t="shared" si="5"/>
        <v/>
      </c>
      <c r="N10" s="43" t="str">
        <f t="shared" si="6"/>
        <v/>
      </c>
      <c r="O10" s="29" t="str">
        <f>IFERROR(SQRT((G43+2)/(Data!T7*Data!T10)+((L10^2)/(2*(G43+2)))),"")</f>
        <v/>
      </c>
      <c r="P10" s="29" t="str">
        <f>IFERROR(Y20*SQRT(1/Data!T7+1/Data!T10),"")</f>
        <v/>
      </c>
      <c r="Q10" s="29" t="str">
        <f>IFERROR(Z20*SQRT(1/Data!T7+1/Data!T10),"")</f>
        <v/>
      </c>
      <c r="T10" s="21" t="str">
        <f t="shared" si="8"/>
        <v/>
      </c>
      <c r="U10" s="79" t="str">
        <f t="shared" si="9"/>
        <v/>
      </c>
      <c r="V10" s="22" t="str">
        <f t="shared" si="10"/>
        <v/>
      </c>
      <c r="W10" s="22" t="str">
        <f>IF(B10="","",SQRT((E10^2/Data!T7)+(E10^2/Data!T10)))</f>
        <v/>
      </c>
      <c r="X10" s="29" t="str">
        <f t="shared" si="11"/>
        <v/>
      </c>
      <c r="Y10" s="43" t="str">
        <f>IFERROR(Data!T7+Data!T10-2,"")</f>
        <v/>
      </c>
      <c r="Z10" s="22" t="str">
        <f t="shared" si="7"/>
        <v/>
      </c>
    </row>
    <row r="11" spans="1:26" x14ac:dyDescent="0.3">
      <c r="B11" s="21" t="str">
        <f>IF(D11="","","2 vs. 4")</f>
        <v/>
      </c>
      <c r="C11" s="43" t="str">
        <f t="shared" si="0"/>
        <v/>
      </c>
      <c r="D11" s="22" t="str">
        <f>IFERROR(Data!U8-Data!U10,"")</f>
        <v/>
      </c>
      <c r="E11" s="22" t="str">
        <f>IF(B11="","",SQRT((Data!V8^2*(Data!T8-1)+Data!V10^2*(Data!T10-1))/G44))</f>
        <v/>
      </c>
      <c r="F11" s="22" t="str">
        <f>IF(B11="","",SQRT((E11^2/Data!T8)+(E11^2/Data!T10)))</f>
        <v/>
      </c>
      <c r="G11" s="22" t="str">
        <f t="shared" si="1"/>
        <v/>
      </c>
      <c r="H11" s="22" t="str">
        <f t="shared" si="2"/>
        <v/>
      </c>
      <c r="J11" s="3"/>
      <c r="K11" s="21" t="str">
        <f t="shared" si="3"/>
        <v/>
      </c>
      <c r="L11" s="22" t="str">
        <f t="shared" si="4"/>
        <v/>
      </c>
      <c r="M11" s="22" t="str">
        <f t="shared" si="5"/>
        <v/>
      </c>
      <c r="N11" s="43" t="str">
        <f t="shared" si="6"/>
        <v/>
      </c>
      <c r="O11" s="29" t="str">
        <f>IFERROR(SQRT((G44+2)/(Data!T8*Data!T10)+((L11^2)/(2*(G44+2)))),"")</f>
        <v/>
      </c>
      <c r="P11" s="29" t="str">
        <f>IFERROR(Y21*SQRT(1/Data!T8+1/Data!T10),"")</f>
        <v/>
      </c>
      <c r="Q11" s="29" t="str">
        <f>IFERROR(Z21*SQRT(1/Data!T8+1/Data!T10),"")</f>
        <v/>
      </c>
      <c r="T11" s="21" t="str">
        <f t="shared" si="8"/>
        <v/>
      </c>
      <c r="U11" s="79" t="str">
        <f t="shared" si="9"/>
        <v/>
      </c>
      <c r="V11" s="22" t="str">
        <f t="shared" si="10"/>
        <v/>
      </c>
      <c r="W11" s="22" t="str">
        <f>IF(B11="","",SQRT((E11^2/Data!T8)+(E11^2/Data!T10)))</f>
        <v/>
      </c>
      <c r="X11" s="29" t="str">
        <f t="shared" si="11"/>
        <v/>
      </c>
      <c r="Y11" s="43" t="str">
        <f>IFERROR(Data!T8+Data!T10-2,"")</f>
        <v/>
      </c>
      <c r="Z11" s="22" t="str">
        <f t="shared" si="7"/>
        <v/>
      </c>
    </row>
    <row r="12" spans="1:26" ht="15" thickBot="1" x14ac:dyDescent="0.35">
      <c r="B12" s="23" t="str">
        <f>IF(D12="","","3 vs. 4")</f>
        <v/>
      </c>
      <c r="C12" s="44" t="str">
        <f t="shared" si="0"/>
        <v/>
      </c>
      <c r="D12" s="24" t="str">
        <f>IFERROR(Data!U9-Data!U10,"")</f>
        <v/>
      </c>
      <c r="E12" s="24" t="str">
        <f>IF(B12="","",SQRT((Data!V9^2*(Data!T9-1)+Data!V10^2*(Data!T10-1))/G45))</f>
        <v/>
      </c>
      <c r="F12" s="24" t="str">
        <f>IF(B12="","",SQRT((E12^2/Data!T9)+(E12^2/Data!T10)))</f>
        <v/>
      </c>
      <c r="G12" s="24" t="str">
        <f t="shared" si="1"/>
        <v/>
      </c>
      <c r="H12" s="24" t="str">
        <f t="shared" si="2"/>
        <v/>
      </c>
      <c r="J12" s="3"/>
      <c r="K12" s="23" t="str">
        <f t="shared" si="3"/>
        <v/>
      </c>
      <c r="L12" s="24" t="str">
        <f t="shared" si="4"/>
        <v/>
      </c>
      <c r="M12" s="24" t="str">
        <f t="shared" si="5"/>
        <v/>
      </c>
      <c r="N12" s="44" t="str">
        <f t="shared" si="6"/>
        <v/>
      </c>
      <c r="O12" s="30" t="str">
        <f>IFERROR(SQRT((G45+2)/(Data!T9*Data!T10)+((L12^2)/(2*(G45+2)))),"")</f>
        <v/>
      </c>
      <c r="P12" s="30" t="str">
        <f>IFERROR(Y22*SQRT(1/Data!T9+1/Data!T10),"")</f>
        <v/>
      </c>
      <c r="Q12" s="30" t="str">
        <f>IFERROR(Z22*SQRT(1/Data!T9+1/Data!T10),"")</f>
        <v/>
      </c>
      <c r="T12" s="23" t="str">
        <f t="shared" si="8"/>
        <v/>
      </c>
      <c r="U12" s="112" t="str">
        <f t="shared" si="9"/>
        <v/>
      </c>
      <c r="V12" s="24" t="str">
        <f t="shared" si="10"/>
        <v/>
      </c>
      <c r="W12" s="24" t="str">
        <f>IF(B12="","",SQRT((E12^2/Data!T9)+(E12^2/Data!T10)))</f>
        <v/>
      </c>
      <c r="X12" s="30" t="str">
        <f t="shared" si="11"/>
        <v/>
      </c>
      <c r="Y12" s="44" t="str">
        <f>IFERROR(Data!T9+Data!T10-2,"")</f>
        <v/>
      </c>
      <c r="Z12" s="24" t="str">
        <f t="shared" si="7"/>
        <v/>
      </c>
    </row>
    <row r="13" spans="1:26" x14ac:dyDescent="0.3">
      <c r="B13" s="2"/>
      <c r="C13" s="8"/>
      <c r="D13" s="2"/>
      <c r="E13" s="2"/>
      <c r="F13" s="2"/>
      <c r="G13" s="2"/>
      <c r="H13" s="2"/>
      <c r="J13" s="3"/>
      <c r="K13" s="2"/>
      <c r="L13" s="2"/>
      <c r="M13" s="2"/>
      <c r="N13" s="8"/>
      <c r="O13" s="2"/>
      <c r="P13" s="2"/>
      <c r="Q13" s="2"/>
      <c r="T13" s="8"/>
      <c r="U13" s="2"/>
      <c r="V13" s="8"/>
      <c r="W13" s="2"/>
      <c r="X13" s="8"/>
      <c r="Y13" s="8"/>
      <c r="Z13" s="8"/>
    </row>
    <row r="14" spans="1:26" ht="15.6" x14ac:dyDescent="0.3">
      <c r="B14" s="6" t="s">
        <v>118</v>
      </c>
      <c r="K14" s="6" t="s">
        <v>118</v>
      </c>
      <c r="L14" s="3"/>
      <c r="M14" s="3"/>
      <c r="N14" s="3"/>
      <c r="O14" s="3"/>
      <c r="P14" s="3"/>
      <c r="Q14" s="3"/>
      <c r="T14" s="6" t="s">
        <v>23</v>
      </c>
    </row>
    <row r="15" spans="1:26" ht="15" thickBot="1" x14ac:dyDescent="0.35">
      <c r="J15" s="3"/>
      <c r="K15" s="3"/>
      <c r="L15" s="3"/>
      <c r="M15" s="3"/>
      <c r="N15" s="3"/>
      <c r="O15" s="3"/>
      <c r="P15" s="3"/>
      <c r="Q15" s="3"/>
    </row>
    <row r="16" spans="1:26" ht="15" thickBot="1" x14ac:dyDescent="0.35">
      <c r="B16" s="89" t="s">
        <v>80</v>
      </c>
      <c r="C16" s="40"/>
      <c r="D16" s="40"/>
      <c r="E16" s="38"/>
      <c r="F16" s="38"/>
      <c r="G16" s="89" t="s">
        <v>82</v>
      </c>
      <c r="H16" s="40"/>
      <c r="J16" s="3"/>
      <c r="K16" s="89" t="s">
        <v>80</v>
      </c>
      <c r="L16" s="40"/>
      <c r="M16" s="40"/>
      <c r="N16" s="38"/>
      <c r="O16" s="38"/>
      <c r="P16" s="89" t="s">
        <v>82</v>
      </c>
      <c r="Q16" s="40"/>
      <c r="T16" s="59" t="s">
        <v>12</v>
      </c>
      <c r="U16" s="59" t="s">
        <v>13</v>
      </c>
      <c r="V16" s="59" t="s">
        <v>14</v>
      </c>
      <c r="W16" s="59" t="s">
        <v>15</v>
      </c>
      <c r="X16" s="59" t="s">
        <v>67</v>
      </c>
      <c r="Y16" s="59" t="s">
        <v>21</v>
      </c>
      <c r="Z16" s="59" t="s">
        <v>22</v>
      </c>
    </row>
    <row r="17" spans="2:26" x14ac:dyDescent="0.3">
      <c r="B17" s="37" t="s">
        <v>0</v>
      </c>
      <c r="C17" s="37" t="s">
        <v>78</v>
      </c>
      <c r="D17" s="37" t="s">
        <v>75</v>
      </c>
      <c r="E17" s="38"/>
      <c r="F17" s="38"/>
      <c r="G17" s="37" t="s">
        <v>36</v>
      </c>
      <c r="H17" s="37" t="s">
        <v>78</v>
      </c>
      <c r="J17" s="3"/>
      <c r="K17" s="37" t="s">
        <v>0</v>
      </c>
      <c r="L17" s="37" t="s">
        <v>78</v>
      </c>
      <c r="M17" s="37" t="s">
        <v>75</v>
      </c>
      <c r="N17" s="38"/>
      <c r="O17" s="38"/>
      <c r="P17" s="37" t="s">
        <v>36</v>
      </c>
      <c r="Q17" s="37" t="s">
        <v>78</v>
      </c>
      <c r="T17" s="27" t="e">
        <f t="shared" ref="T17:T22" si="12">EXP(((LN(2)-LN(Y7))/2)+GAMMALN((Y7+1)/2)-GAMMALN(Y7/2))</f>
        <v>#VALUE!</v>
      </c>
      <c r="U17" s="27" t="e">
        <f t="shared" ref="U17:U22" si="13">T17*X7</f>
        <v>#VALUE!</v>
      </c>
      <c r="V17" s="27" t="e">
        <f t="shared" ref="V17:V22" si="14">1+(X7^2)*(1-T17^2)</f>
        <v>#VALUE!</v>
      </c>
      <c r="W17" s="27" t="e">
        <f t="shared" ref="W17:W22" si="15">(2*U17^3)-((2*Y7-1)/Y7)*(X7^2*U17)</f>
        <v>#VALUE!</v>
      </c>
      <c r="X17" s="12" t="e">
        <f t="shared" ref="X17" si="16">W17/SQRT(V17)^3</f>
        <v>#VALUE!</v>
      </c>
      <c r="Y17" s="28" t="e">
        <f t="shared" ref="Y17:Z22" si="17">IF($X17&lt;0.001,Y33,Y25)</f>
        <v>#VALUE!</v>
      </c>
      <c r="Z17" s="28" t="e">
        <f t="shared" si="17"/>
        <v>#VALUE!</v>
      </c>
    </row>
    <row r="18" spans="2:26" x14ac:dyDescent="0.3">
      <c r="B18" s="39">
        <v>1.1000000000000001</v>
      </c>
      <c r="C18" s="39" t="e">
        <f>IF(H7="",NA(),H7)</f>
        <v>#N/A</v>
      </c>
      <c r="D18" s="39" t="e">
        <f t="shared" ref="D18:D35" si="18">C18</f>
        <v>#N/A</v>
      </c>
      <c r="E18" s="39"/>
      <c r="F18" s="39"/>
      <c r="G18" s="38">
        <v>0.5</v>
      </c>
      <c r="H18" s="38">
        <f>C$40</f>
        <v>0</v>
      </c>
      <c r="J18" s="3"/>
      <c r="K18" s="39">
        <v>1.1000000000000001</v>
      </c>
      <c r="L18" s="39" t="e">
        <f>IF(Q7="",NA(),Q7)</f>
        <v>#N/A</v>
      </c>
      <c r="M18" s="39" t="e">
        <f t="shared" ref="M18:M35" si="19">L18</f>
        <v>#N/A</v>
      </c>
      <c r="N18" s="39"/>
      <c r="O18" s="39"/>
      <c r="P18" s="38">
        <v>0.5</v>
      </c>
      <c r="Q18" s="38">
        <f>L$40</f>
        <v>0</v>
      </c>
      <c r="T18" s="29" t="e">
        <f t="shared" si="12"/>
        <v>#VALUE!</v>
      </c>
      <c r="U18" s="29" t="e">
        <f t="shared" si="13"/>
        <v>#VALUE!</v>
      </c>
      <c r="V18" s="29" t="e">
        <f t="shared" si="14"/>
        <v>#VALUE!</v>
      </c>
      <c r="W18" s="29" t="e">
        <f t="shared" si="15"/>
        <v>#VALUE!</v>
      </c>
      <c r="X18" s="12" t="e">
        <f t="shared" ref="X18:X22" si="20">W18/SQRT(V18)^3</f>
        <v>#VALUE!</v>
      </c>
      <c r="Y18" s="28" t="e">
        <f t="shared" si="17"/>
        <v>#VALUE!</v>
      </c>
      <c r="Z18" s="28" t="e">
        <f t="shared" si="17"/>
        <v>#VALUE!</v>
      </c>
    </row>
    <row r="19" spans="2:26" x14ac:dyDescent="0.3">
      <c r="B19" s="39">
        <v>1.1000000000000001</v>
      </c>
      <c r="C19" s="38" t="e">
        <f>IF(D7="",NA(),D7)</f>
        <v>#N/A</v>
      </c>
      <c r="D19" s="39" t="e">
        <f t="shared" si="18"/>
        <v>#N/A</v>
      </c>
      <c r="E19" s="39"/>
      <c r="F19" s="39"/>
      <c r="G19" s="38">
        <v>1</v>
      </c>
      <c r="H19" s="38">
        <f>C$40</f>
        <v>0</v>
      </c>
      <c r="J19" s="3"/>
      <c r="K19" s="39">
        <v>1.1000000000000001</v>
      </c>
      <c r="L19" s="38" t="e">
        <f>IF(M7="",NA(),M7)</f>
        <v>#N/A</v>
      </c>
      <c r="M19" s="39" t="e">
        <f t="shared" si="19"/>
        <v>#N/A</v>
      </c>
      <c r="N19" s="39"/>
      <c r="O19" s="39"/>
      <c r="P19" s="38">
        <v>1</v>
      </c>
      <c r="Q19" s="38">
        <f>L$40</f>
        <v>0</v>
      </c>
      <c r="T19" s="29" t="e">
        <f t="shared" si="12"/>
        <v>#VALUE!</v>
      </c>
      <c r="U19" s="29" t="e">
        <f t="shared" si="13"/>
        <v>#VALUE!</v>
      </c>
      <c r="V19" s="29" t="e">
        <f t="shared" si="14"/>
        <v>#VALUE!</v>
      </c>
      <c r="W19" s="29" t="e">
        <f t="shared" si="15"/>
        <v>#VALUE!</v>
      </c>
      <c r="X19" s="12" t="e">
        <f t="shared" si="20"/>
        <v>#VALUE!</v>
      </c>
      <c r="Y19" s="28" t="e">
        <f t="shared" si="17"/>
        <v>#VALUE!</v>
      </c>
      <c r="Z19" s="28" t="e">
        <f t="shared" si="17"/>
        <v>#VALUE!</v>
      </c>
    </row>
    <row r="20" spans="2:26" ht="15.6" x14ac:dyDescent="0.3">
      <c r="B20" s="39">
        <v>1.1000000000000001</v>
      </c>
      <c r="C20" s="39" t="e">
        <f>IF(G7="",NA(),G7)</f>
        <v>#N/A</v>
      </c>
      <c r="D20" s="39" t="e">
        <f t="shared" si="18"/>
        <v>#N/A</v>
      </c>
      <c r="E20" s="39"/>
      <c r="F20" s="39"/>
      <c r="G20" s="38">
        <v>1.5</v>
      </c>
      <c r="H20" s="38">
        <f>C$40</f>
        <v>0</v>
      </c>
      <c r="J20" s="3"/>
      <c r="K20" s="39">
        <v>1.1000000000000001</v>
      </c>
      <c r="L20" s="39" t="e">
        <f>IF(P7="",NA(),P7)</f>
        <v>#N/A</v>
      </c>
      <c r="M20" s="39" t="e">
        <f t="shared" si="19"/>
        <v>#N/A</v>
      </c>
      <c r="N20" s="39"/>
      <c r="O20" s="39"/>
      <c r="P20" s="38">
        <v>1.5</v>
      </c>
      <c r="Q20" s="38">
        <f>L$40</f>
        <v>0</v>
      </c>
      <c r="S20" s="4"/>
      <c r="T20" s="29" t="e">
        <f t="shared" si="12"/>
        <v>#VALUE!</v>
      </c>
      <c r="U20" s="29" t="e">
        <f t="shared" si="13"/>
        <v>#VALUE!</v>
      </c>
      <c r="V20" s="29" t="e">
        <f t="shared" si="14"/>
        <v>#VALUE!</v>
      </c>
      <c r="W20" s="29" t="e">
        <f t="shared" si="15"/>
        <v>#VALUE!</v>
      </c>
      <c r="X20" s="12" t="e">
        <f t="shared" si="20"/>
        <v>#VALUE!</v>
      </c>
      <c r="Y20" s="28" t="e">
        <f t="shared" si="17"/>
        <v>#VALUE!</v>
      </c>
      <c r="Z20" s="28" t="e">
        <f t="shared" si="17"/>
        <v>#VALUE!</v>
      </c>
    </row>
    <row r="21" spans="2:26" x14ac:dyDescent="0.3">
      <c r="B21" s="39">
        <v>2.1</v>
      </c>
      <c r="C21" s="39" t="e">
        <f>IF(H8="",NA(),H8)</f>
        <v>#N/A</v>
      </c>
      <c r="D21" s="39" t="e">
        <f t="shared" si="18"/>
        <v>#N/A</v>
      </c>
      <c r="E21" s="39"/>
      <c r="F21" s="39"/>
      <c r="G21" s="38">
        <v>1.5</v>
      </c>
      <c r="H21" s="38">
        <f>C$41</f>
        <v>0</v>
      </c>
      <c r="J21" s="3"/>
      <c r="K21" s="39">
        <v>2.1</v>
      </c>
      <c r="L21" s="39" t="e">
        <f>IF(Q8="",NA(),Q8)</f>
        <v>#N/A</v>
      </c>
      <c r="M21" s="39" t="e">
        <f t="shared" si="19"/>
        <v>#N/A</v>
      </c>
      <c r="N21" s="39"/>
      <c r="O21" s="39"/>
      <c r="P21" s="38">
        <v>1.5</v>
      </c>
      <c r="Q21" s="38">
        <f>L$41</f>
        <v>0</v>
      </c>
      <c r="T21" s="72" t="e">
        <f t="shared" si="12"/>
        <v>#VALUE!</v>
      </c>
      <c r="U21" s="72" t="e">
        <f t="shared" si="13"/>
        <v>#VALUE!</v>
      </c>
      <c r="V21" s="72" t="e">
        <f t="shared" si="14"/>
        <v>#VALUE!</v>
      </c>
      <c r="W21" s="72" t="e">
        <f t="shared" si="15"/>
        <v>#VALUE!</v>
      </c>
      <c r="X21" s="12" t="e">
        <f t="shared" si="20"/>
        <v>#VALUE!</v>
      </c>
      <c r="Y21" s="28" t="e">
        <f t="shared" si="17"/>
        <v>#VALUE!</v>
      </c>
      <c r="Z21" s="28" t="e">
        <f t="shared" si="17"/>
        <v>#VALUE!</v>
      </c>
    </row>
    <row r="22" spans="2:26" ht="15" thickBot="1" x14ac:dyDescent="0.35">
      <c r="B22" s="39">
        <v>2.1</v>
      </c>
      <c r="C22" s="38" t="e">
        <f>IF(D8="",NA(),D8)</f>
        <v>#N/A</v>
      </c>
      <c r="D22" s="39" t="e">
        <f t="shared" si="18"/>
        <v>#N/A</v>
      </c>
      <c r="E22" s="39"/>
      <c r="F22" s="39"/>
      <c r="G22" s="38">
        <v>2</v>
      </c>
      <c r="H22" s="38">
        <f>C$41</f>
        <v>0</v>
      </c>
      <c r="J22" s="3"/>
      <c r="K22" s="39">
        <v>2.1</v>
      </c>
      <c r="L22" s="38" t="e">
        <f>IF(M8="",NA(),M8)</f>
        <v>#N/A</v>
      </c>
      <c r="M22" s="39" t="e">
        <f t="shared" si="19"/>
        <v>#N/A</v>
      </c>
      <c r="N22" s="39"/>
      <c r="O22" s="39"/>
      <c r="P22" s="38">
        <v>2</v>
      </c>
      <c r="Q22" s="38">
        <f>L$41</f>
        <v>0</v>
      </c>
      <c r="T22" s="72" t="e">
        <f t="shared" si="12"/>
        <v>#VALUE!</v>
      </c>
      <c r="U22" s="72" t="e">
        <f t="shared" si="13"/>
        <v>#VALUE!</v>
      </c>
      <c r="V22" s="72" t="e">
        <f t="shared" si="14"/>
        <v>#VALUE!</v>
      </c>
      <c r="W22" s="72" t="e">
        <f t="shared" si="15"/>
        <v>#VALUE!</v>
      </c>
      <c r="X22" s="12" t="e">
        <f t="shared" si="20"/>
        <v>#VALUE!</v>
      </c>
      <c r="Y22" s="28" t="e">
        <f t="shared" si="17"/>
        <v>#VALUE!</v>
      </c>
      <c r="Z22" s="28" t="e">
        <f t="shared" si="17"/>
        <v>#VALUE!</v>
      </c>
    </row>
    <row r="23" spans="2:26" ht="15" thickBot="1" x14ac:dyDescent="0.35">
      <c r="B23" s="39">
        <v>2.1</v>
      </c>
      <c r="C23" s="39" t="e">
        <f>IF(G8="",NA(),G8)</f>
        <v>#N/A</v>
      </c>
      <c r="D23" s="39" t="e">
        <f t="shared" si="18"/>
        <v>#N/A</v>
      </c>
      <c r="E23" s="39"/>
      <c r="F23" s="39"/>
      <c r="G23" s="38">
        <v>2.5</v>
      </c>
      <c r="H23" s="38">
        <f>C$41</f>
        <v>0</v>
      </c>
      <c r="J23" s="3"/>
      <c r="K23" s="39">
        <v>2.1</v>
      </c>
      <c r="L23" s="39" t="e">
        <f>IF(P8="",NA(),P8)</f>
        <v>#N/A</v>
      </c>
      <c r="M23" s="39" t="e">
        <f t="shared" si="19"/>
        <v>#N/A</v>
      </c>
      <c r="N23" s="39"/>
      <c r="O23" s="39"/>
      <c r="P23" s="38">
        <v>2.5</v>
      </c>
      <c r="Q23" s="38">
        <f>L$41</f>
        <v>0</v>
      </c>
      <c r="T23" s="7"/>
      <c r="U23" s="7"/>
      <c r="V23" s="7"/>
      <c r="W23" s="7"/>
      <c r="X23" s="7"/>
      <c r="Y23" s="7"/>
      <c r="Z23" s="7"/>
    </row>
    <row r="24" spans="2:26" ht="15" thickBot="1" x14ac:dyDescent="0.35">
      <c r="B24" s="39">
        <v>3.1</v>
      </c>
      <c r="C24" s="39" t="e">
        <f>IF(H9="",NA(),H9)</f>
        <v>#N/A</v>
      </c>
      <c r="D24" s="39" t="e">
        <f t="shared" si="18"/>
        <v>#N/A</v>
      </c>
      <c r="E24" s="39"/>
      <c r="F24" s="39"/>
      <c r="G24" s="38">
        <v>2.5</v>
      </c>
      <c r="H24" s="38">
        <f>C$42</f>
        <v>0</v>
      </c>
      <c r="J24" s="3"/>
      <c r="K24" s="39">
        <v>3.1</v>
      </c>
      <c r="L24" s="39" t="e">
        <f>IF(Q9="",NA(),Q9)</f>
        <v>#N/A</v>
      </c>
      <c r="M24" s="39" t="e">
        <f t="shared" si="19"/>
        <v>#N/A</v>
      </c>
      <c r="N24" s="39"/>
      <c r="O24" s="39"/>
      <c r="P24" s="38">
        <v>2.5</v>
      </c>
      <c r="Q24" s="38">
        <f>L$42</f>
        <v>0</v>
      </c>
      <c r="T24" s="59" t="s">
        <v>16</v>
      </c>
      <c r="U24" s="59" t="s">
        <v>17</v>
      </c>
      <c r="V24" s="59" t="s">
        <v>18</v>
      </c>
      <c r="W24" s="59" t="s">
        <v>19</v>
      </c>
      <c r="X24" s="59" t="s">
        <v>20</v>
      </c>
      <c r="Y24" s="59" t="s">
        <v>21</v>
      </c>
      <c r="Z24" s="59" t="s">
        <v>22</v>
      </c>
    </row>
    <row r="25" spans="2:26" x14ac:dyDescent="0.3">
      <c r="B25" s="39">
        <v>3.1</v>
      </c>
      <c r="C25" s="38" t="e">
        <f>IF(D9="",NA(),D9)</f>
        <v>#N/A</v>
      </c>
      <c r="D25" s="39" t="e">
        <f t="shared" si="18"/>
        <v>#N/A</v>
      </c>
      <c r="E25" s="39"/>
      <c r="F25" s="39"/>
      <c r="G25" s="38">
        <v>3</v>
      </c>
      <c r="H25" s="38">
        <f>C$42</f>
        <v>0</v>
      </c>
      <c r="J25" s="3"/>
      <c r="K25" s="39">
        <v>3.1</v>
      </c>
      <c r="L25" s="38" t="e">
        <f>IF(M9="",NA(),M9)</f>
        <v>#N/A</v>
      </c>
      <c r="M25" s="39" t="e">
        <f t="shared" si="19"/>
        <v>#N/A</v>
      </c>
      <c r="N25" s="39"/>
      <c r="O25" s="39"/>
      <c r="P25" s="38">
        <v>3</v>
      </c>
      <c r="Q25" s="38">
        <f>L$42</f>
        <v>0</v>
      </c>
      <c r="T25" s="27" t="e">
        <f t="shared" ref="T25:T30" si="21">W17/(4*V17)</f>
        <v>#VALUE!</v>
      </c>
      <c r="U25" s="27" t="e">
        <f t="shared" ref="U25:U30" si="22">V17/(2*T25^2)</f>
        <v>#VALUE!</v>
      </c>
      <c r="V25" s="27" t="e">
        <f t="shared" ref="V25:V30" si="23">U17-(U25*T25)</f>
        <v>#VALUE!</v>
      </c>
      <c r="W25" s="27" t="e">
        <f t="shared" ref="W25:W30" si="24">2*GAMMAINV((1-$Q$4/100)/2,U25/2,1)</f>
        <v>#VALUE!</v>
      </c>
      <c r="X25" s="27" t="e">
        <f t="shared" ref="X25:X30" si="25">2*GAMMAINV(1-(1-$Q$4/100)/2,U25/2,1)</f>
        <v>#VALUE!</v>
      </c>
      <c r="Y25" s="27" t="e">
        <f t="shared" ref="Y25:Y30" si="26">IF(F40&gt;0,V25+(T25*W25),V25+(T25*X25))</f>
        <v>#VALUE!</v>
      </c>
      <c r="Z25" s="27" t="e">
        <f t="shared" ref="Z25:Z30" si="27">IF(F40&gt;0,V25+(T25*X25),V25+(T25*W25))</f>
        <v>#VALUE!</v>
      </c>
    </row>
    <row r="26" spans="2:26" x14ac:dyDescent="0.3">
      <c r="B26" s="39">
        <v>3.1</v>
      </c>
      <c r="C26" s="39" t="e">
        <f>IF(G9="",NA(),G9)</f>
        <v>#N/A</v>
      </c>
      <c r="D26" s="39" t="e">
        <f t="shared" si="18"/>
        <v>#N/A</v>
      </c>
      <c r="E26" s="39"/>
      <c r="F26" s="39"/>
      <c r="G26" s="38">
        <v>3.5</v>
      </c>
      <c r="H26" s="38">
        <f>C$42</f>
        <v>0</v>
      </c>
      <c r="J26" s="3"/>
      <c r="K26" s="39">
        <v>3.1</v>
      </c>
      <c r="L26" s="39" t="e">
        <f>IF(P9="",NA(),P9)</f>
        <v>#N/A</v>
      </c>
      <c r="M26" s="39" t="e">
        <f t="shared" si="19"/>
        <v>#N/A</v>
      </c>
      <c r="N26" s="39"/>
      <c r="O26" s="39"/>
      <c r="P26" s="38">
        <v>3.5</v>
      </c>
      <c r="Q26" s="38">
        <f>L$42</f>
        <v>0</v>
      </c>
      <c r="T26" s="29" t="e">
        <f t="shared" si="21"/>
        <v>#VALUE!</v>
      </c>
      <c r="U26" s="29" t="e">
        <f t="shared" si="22"/>
        <v>#VALUE!</v>
      </c>
      <c r="V26" s="29" t="e">
        <f t="shared" si="23"/>
        <v>#VALUE!</v>
      </c>
      <c r="W26" s="29" t="e">
        <f t="shared" si="24"/>
        <v>#VALUE!</v>
      </c>
      <c r="X26" s="29" t="e">
        <f t="shared" si="25"/>
        <v>#VALUE!</v>
      </c>
      <c r="Y26" s="29" t="e">
        <f t="shared" si="26"/>
        <v>#VALUE!</v>
      </c>
      <c r="Z26" s="29" t="e">
        <f t="shared" si="27"/>
        <v>#VALUE!</v>
      </c>
    </row>
    <row r="27" spans="2:26" x14ac:dyDescent="0.3">
      <c r="B27" s="39">
        <v>4.0999999999999996</v>
      </c>
      <c r="C27" s="39" t="e">
        <f>IF(H10="",NA(),H10)</f>
        <v>#N/A</v>
      </c>
      <c r="D27" s="39" t="e">
        <f t="shared" si="18"/>
        <v>#N/A</v>
      </c>
      <c r="E27" s="39"/>
      <c r="F27" s="39"/>
      <c r="G27" s="38">
        <v>3.5</v>
      </c>
      <c r="H27" s="38">
        <f>C$43</f>
        <v>0</v>
      </c>
      <c r="J27" s="3"/>
      <c r="K27" s="39">
        <v>4.0999999999999996</v>
      </c>
      <c r="L27" s="39" t="e">
        <f>IF(Q10="",NA(),Q10)</f>
        <v>#N/A</v>
      </c>
      <c r="M27" s="39" t="e">
        <f t="shared" si="19"/>
        <v>#N/A</v>
      </c>
      <c r="N27" s="39"/>
      <c r="O27" s="39"/>
      <c r="P27" s="38">
        <v>3.5</v>
      </c>
      <c r="Q27" s="38">
        <f>L$43</f>
        <v>0</v>
      </c>
      <c r="T27" s="29" t="e">
        <f t="shared" si="21"/>
        <v>#VALUE!</v>
      </c>
      <c r="U27" s="29" t="e">
        <f t="shared" si="22"/>
        <v>#VALUE!</v>
      </c>
      <c r="V27" s="29" t="e">
        <f t="shared" si="23"/>
        <v>#VALUE!</v>
      </c>
      <c r="W27" s="29" t="e">
        <f t="shared" si="24"/>
        <v>#VALUE!</v>
      </c>
      <c r="X27" s="29" t="e">
        <f t="shared" si="25"/>
        <v>#VALUE!</v>
      </c>
      <c r="Y27" s="29" t="e">
        <f t="shared" si="26"/>
        <v>#VALUE!</v>
      </c>
      <c r="Z27" s="29" t="e">
        <f t="shared" si="27"/>
        <v>#VALUE!</v>
      </c>
    </row>
    <row r="28" spans="2:26" x14ac:dyDescent="0.3">
      <c r="B28" s="38">
        <v>4.0999999999999996</v>
      </c>
      <c r="C28" s="38" t="e">
        <f>IF(D10="",NA(),D10)</f>
        <v>#N/A</v>
      </c>
      <c r="D28" s="39" t="e">
        <f t="shared" si="18"/>
        <v>#N/A</v>
      </c>
      <c r="E28" s="39"/>
      <c r="F28" s="39"/>
      <c r="G28" s="38">
        <v>4</v>
      </c>
      <c r="H28" s="38">
        <f>C$43</f>
        <v>0</v>
      </c>
      <c r="J28" s="3"/>
      <c r="K28" s="38">
        <v>4.0999999999999996</v>
      </c>
      <c r="L28" s="38" t="e">
        <f>IF(M10="",NA(),M10)</f>
        <v>#N/A</v>
      </c>
      <c r="M28" s="39" t="e">
        <f t="shared" si="19"/>
        <v>#N/A</v>
      </c>
      <c r="N28" s="39"/>
      <c r="O28" s="39"/>
      <c r="P28" s="38">
        <v>4</v>
      </c>
      <c r="Q28" s="38">
        <f>L$43</f>
        <v>0</v>
      </c>
      <c r="T28" s="29" t="e">
        <f t="shared" si="21"/>
        <v>#VALUE!</v>
      </c>
      <c r="U28" s="29" t="e">
        <f t="shared" si="22"/>
        <v>#VALUE!</v>
      </c>
      <c r="V28" s="29" t="e">
        <f t="shared" si="23"/>
        <v>#VALUE!</v>
      </c>
      <c r="W28" s="29" t="e">
        <f t="shared" si="24"/>
        <v>#VALUE!</v>
      </c>
      <c r="X28" s="29" t="e">
        <f t="shared" si="25"/>
        <v>#VALUE!</v>
      </c>
      <c r="Y28" s="29" t="e">
        <f t="shared" si="26"/>
        <v>#VALUE!</v>
      </c>
      <c r="Z28" s="29" t="e">
        <f t="shared" si="27"/>
        <v>#VALUE!</v>
      </c>
    </row>
    <row r="29" spans="2:26" x14ac:dyDescent="0.3">
      <c r="B29" s="38">
        <v>4.0999999999999996</v>
      </c>
      <c r="C29" s="39" t="e">
        <f>IF(G10="",NA(),G10)</f>
        <v>#N/A</v>
      </c>
      <c r="D29" s="39" t="e">
        <f t="shared" si="18"/>
        <v>#N/A</v>
      </c>
      <c r="E29" s="39"/>
      <c r="F29" s="39"/>
      <c r="G29" s="38">
        <v>4.5</v>
      </c>
      <c r="H29" s="38">
        <f>C$43</f>
        <v>0</v>
      </c>
      <c r="J29" s="3"/>
      <c r="K29" s="38">
        <v>4.0999999999999996</v>
      </c>
      <c r="L29" s="39" t="e">
        <f>IF(P10="",NA(),P10)</f>
        <v>#N/A</v>
      </c>
      <c r="M29" s="39" t="e">
        <f t="shared" si="19"/>
        <v>#N/A</v>
      </c>
      <c r="N29" s="39"/>
      <c r="O29" s="39"/>
      <c r="P29" s="38">
        <v>4.5</v>
      </c>
      <c r="Q29" s="38">
        <f>L$43</f>
        <v>0</v>
      </c>
      <c r="T29" s="72" t="e">
        <f t="shared" si="21"/>
        <v>#VALUE!</v>
      </c>
      <c r="U29" s="72" t="e">
        <f t="shared" si="22"/>
        <v>#VALUE!</v>
      </c>
      <c r="V29" s="72" t="e">
        <f t="shared" si="23"/>
        <v>#VALUE!</v>
      </c>
      <c r="W29" s="72" t="e">
        <f t="shared" si="24"/>
        <v>#VALUE!</v>
      </c>
      <c r="X29" s="49" t="e">
        <f t="shared" si="25"/>
        <v>#VALUE!</v>
      </c>
      <c r="Y29" s="49" t="e">
        <f t="shared" si="26"/>
        <v>#VALUE!</v>
      </c>
      <c r="Z29" s="49" t="e">
        <f t="shared" si="27"/>
        <v>#VALUE!</v>
      </c>
    </row>
    <row r="30" spans="2:26" ht="15" thickBot="1" x14ac:dyDescent="0.35">
      <c r="B30" s="39">
        <v>5.0999999999999996</v>
      </c>
      <c r="C30" s="39" t="e">
        <f>IF(H11="",NA(),H11)</f>
        <v>#N/A</v>
      </c>
      <c r="D30" s="39" t="e">
        <f t="shared" si="18"/>
        <v>#N/A</v>
      </c>
      <c r="E30" s="39"/>
      <c r="F30" s="39"/>
      <c r="G30" s="39">
        <v>4.5</v>
      </c>
      <c r="H30" s="38">
        <f>C$44</f>
        <v>0</v>
      </c>
      <c r="J30" s="3"/>
      <c r="K30" s="39">
        <v>5.0999999999999996</v>
      </c>
      <c r="L30" s="39" t="e">
        <f>IF(Q11="",NA(),Q11)</f>
        <v>#N/A</v>
      </c>
      <c r="M30" s="39" t="e">
        <f t="shared" si="19"/>
        <v>#N/A</v>
      </c>
      <c r="N30" s="39"/>
      <c r="O30" s="39"/>
      <c r="P30" s="39">
        <v>4.5</v>
      </c>
      <c r="Q30" s="38">
        <f>L$44</f>
        <v>0</v>
      </c>
      <c r="T30" s="73" t="e">
        <f t="shared" si="21"/>
        <v>#VALUE!</v>
      </c>
      <c r="U30" s="73" t="e">
        <f t="shared" si="22"/>
        <v>#VALUE!</v>
      </c>
      <c r="V30" s="73" t="e">
        <f t="shared" si="23"/>
        <v>#VALUE!</v>
      </c>
      <c r="W30" s="73" t="e">
        <f t="shared" si="24"/>
        <v>#VALUE!</v>
      </c>
      <c r="X30" s="74" t="e">
        <f t="shared" si="25"/>
        <v>#VALUE!</v>
      </c>
      <c r="Y30" s="74" t="e">
        <f t="shared" si="26"/>
        <v>#VALUE!</v>
      </c>
      <c r="Z30" s="74" t="e">
        <f t="shared" si="27"/>
        <v>#VALUE!</v>
      </c>
    </row>
    <row r="31" spans="2:26" ht="15" thickBot="1" x14ac:dyDescent="0.35">
      <c r="B31" s="39">
        <v>5.0999999999999996</v>
      </c>
      <c r="C31" s="38" t="e">
        <f>IF(D11="",NA(),D11)</f>
        <v>#N/A</v>
      </c>
      <c r="D31" s="39" t="e">
        <f t="shared" si="18"/>
        <v>#N/A</v>
      </c>
      <c r="E31" s="39"/>
      <c r="F31" s="39"/>
      <c r="G31" s="39">
        <v>5</v>
      </c>
      <c r="H31" s="38">
        <f>C$44</f>
        <v>0</v>
      </c>
      <c r="J31" s="3"/>
      <c r="K31" s="39">
        <v>5.0999999999999996</v>
      </c>
      <c r="L31" s="38" t="e">
        <f>IF(M11="",NA(),M11)</f>
        <v>#N/A</v>
      </c>
      <c r="M31" s="39" t="e">
        <f t="shared" si="19"/>
        <v>#N/A</v>
      </c>
      <c r="N31" s="39"/>
      <c r="O31" s="39"/>
      <c r="P31" s="39">
        <v>5</v>
      </c>
      <c r="Q31" s="38">
        <f>L$44</f>
        <v>0</v>
      </c>
    </row>
    <row r="32" spans="2:26" ht="15" thickBot="1" x14ac:dyDescent="0.35">
      <c r="B32" s="39">
        <v>5.0999999999999996</v>
      </c>
      <c r="C32" s="39" t="e">
        <f>IF(G11="",NA(),G11)</f>
        <v>#N/A</v>
      </c>
      <c r="D32" s="39" t="e">
        <f t="shared" si="18"/>
        <v>#N/A</v>
      </c>
      <c r="E32" s="39"/>
      <c r="F32" s="39"/>
      <c r="G32" s="39">
        <v>5.5</v>
      </c>
      <c r="H32" s="38">
        <f>C$44</f>
        <v>0</v>
      </c>
      <c r="K32" s="39">
        <v>5.0999999999999996</v>
      </c>
      <c r="L32" s="39" t="e">
        <f>IF(P11="",NA(),P11)</f>
        <v>#N/A</v>
      </c>
      <c r="M32" s="39" t="e">
        <f t="shared" si="19"/>
        <v>#N/A</v>
      </c>
      <c r="N32" s="39"/>
      <c r="O32" s="39"/>
      <c r="P32" s="39">
        <v>5.5</v>
      </c>
      <c r="Q32" s="38">
        <f>L$44</f>
        <v>0</v>
      </c>
      <c r="V32" s="59" t="s">
        <v>68</v>
      </c>
      <c r="W32" s="59" t="s">
        <v>69</v>
      </c>
      <c r="X32" s="59" t="s">
        <v>70</v>
      </c>
      <c r="Y32" s="59" t="s">
        <v>21</v>
      </c>
      <c r="Z32" s="59" t="s">
        <v>22</v>
      </c>
    </row>
    <row r="33" spans="2:26" ht="15.6" x14ac:dyDescent="0.3">
      <c r="B33" s="39">
        <v>6.1</v>
      </c>
      <c r="C33" s="39" t="e">
        <f>IF(H12="",NA(),H12)</f>
        <v>#N/A</v>
      </c>
      <c r="D33" s="39" t="e">
        <f t="shared" si="18"/>
        <v>#N/A</v>
      </c>
      <c r="E33" s="39"/>
      <c r="F33" s="39"/>
      <c r="G33" s="39">
        <v>5.5</v>
      </c>
      <c r="H33" s="38">
        <f>C$45</f>
        <v>0</v>
      </c>
      <c r="J33" s="4"/>
      <c r="K33" s="39">
        <v>6.1</v>
      </c>
      <c r="L33" s="39" t="e">
        <f>IF(Q12="",NA(),Q12)</f>
        <v>#N/A</v>
      </c>
      <c r="M33" s="39" t="e">
        <f t="shared" si="19"/>
        <v>#N/A</v>
      </c>
      <c r="N33" s="39"/>
      <c r="O33" s="39"/>
      <c r="P33" s="39">
        <v>5.5</v>
      </c>
      <c r="Q33" s="38">
        <f>L$45</f>
        <v>0</v>
      </c>
      <c r="V33" s="28" t="e">
        <f t="shared" ref="V33:V38" si="28">SQRT(V17)</f>
        <v>#VALUE!</v>
      </c>
      <c r="W33" s="28">
        <f t="shared" ref="W33:W38" si="29">NORMINV((1-$Q$4/100)/2,0,1)</f>
        <v>-1.9599639845400536</v>
      </c>
      <c r="X33" s="28">
        <f t="shared" ref="X33:X38" si="30">NORMINV(1-(1-$Q$4/100)/2,0,1)</f>
        <v>1.9599639845400536</v>
      </c>
      <c r="Y33" s="28" t="e">
        <f t="shared" ref="Y33:Y38" si="31">U17+W33*V33</f>
        <v>#VALUE!</v>
      </c>
      <c r="Z33" s="28" t="e">
        <f t="shared" ref="Z33:Z38" si="32">U17+X33*V33</f>
        <v>#VALUE!</v>
      </c>
    </row>
    <row r="34" spans="2:26" x14ac:dyDescent="0.3">
      <c r="B34" s="39">
        <v>6.1</v>
      </c>
      <c r="C34" s="38" t="e">
        <f>IF(D12="",NA(),D12)</f>
        <v>#N/A</v>
      </c>
      <c r="D34" s="39" t="e">
        <f t="shared" si="18"/>
        <v>#N/A</v>
      </c>
      <c r="E34" s="39"/>
      <c r="F34" s="39"/>
      <c r="G34" s="39">
        <v>6</v>
      </c>
      <c r="H34" s="38">
        <f>C$45</f>
        <v>0</v>
      </c>
      <c r="K34" s="39">
        <v>6.1</v>
      </c>
      <c r="L34" s="38" t="e">
        <f>IF(M12="",NA(),M12)</f>
        <v>#N/A</v>
      </c>
      <c r="M34" s="39" t="e">
        <f t="shared" si="19"/>
        <v>#N/A</v>
      </c>
      <c r="N34" s="39"/>
      <c r="O34" s="39"/>
      <c r="P34" s="39">
        <v>6</v>
      </c>
      <c r="Q34" s="38">
        <f>L$45</f>
        <v>0</v>
      </c>
      <c r="V34" s="28" t="e">
        <f t="shared" si="28"/>
        <v>#VALUE!</v>
      </c>
      <c r="W34" s="28">
        <f t="shared" si="29"/>
        <v>-1.9599639845400536</v>
      </c>
      <c r="X34" s="28">
        <f t="shared" si="30"/>
        <v>1.9599639845400536</v>
      </c>
      <c r="Y34" s="28" t="e">
        <f t="shared" si="31"/>
        <v>#VALUE!</v>
      </c>
      <c r="Z34" s="28" t="e">
        <f t="shared" si="32"/>
        <v>#VALUE!</v>
      </c>
    </row>
    <row r="35" spans="2:26" x14ac:dyDescent="0.3">
      <c r="B35" s="39">
        <v>6.1</v>
      </c>
      <c r="C35" s="39" t="e">
        <f>IF(G12="",NA(),G12)</f>
        <v>#N/A</v>
      </c>
      <c r="D35" s="39" t="e">
        <f t="shared" si="18"/>
        <v>#N/A</v>
      </c>
      <c r="E35" s="39"/>
      <c r="F35" s="39"/>
      <c r="G35" s="39">
        <v>6.5</v>
      </c>
      <c r="H35" s="38">
        <f>C$45</f>
        <v>0</v>
      </c>
      <c r="K35" s="39">
        <v>6.1</v>
      </c>
      <c r="L35" s="39" t="e">
        <f>IF(P12="",NA(),P12)</f>
        <v>#N/A</v>
      </c>
      <c r="M35" s="39" t="e">
        <f t="shared" si="19"/>
        <v>#N/A</v>
      </c>
      <c r="N35" s="39"/>
      <c r="O35" s="39"/>
      <c r="P35" s="39">
        <v>6.5</v>
      </c>
      <c r="Q35" s="38">
        <f>L$45</f>
        <v>0</v>
      </c>
      <c r="V35" s="28" t="e">
        <f t="shared" si="28"/>
        <v>#VALUE!</v>
      </c>
      <c r="W35" s="28">
        <f t="shared" si="29"/>
        <v>-1.9599639845400536</v>
      </c>
      <c r="X35" s="28">
        <f t="shared" si="30"/>
        <v>1.9599639845400536</v>
      </c>
      <c r="Y35" s="28" t="e">
        <f t="shared" si="31"/>
        <v>#VALUE!</v>
      </c>
      <c r="Z35" s="28" t="e">
        <f t="shared" si="32"/>
        <v>#VALUE!</v>
      </c>
    </row>
    <row r="36" spans="2:26" x14ac:dyDescent="0.3">
      <c r="B36" s="25"/>
      <c r="C36" s="25"/>
      <c r="D36" s="25"/>
      <c r="E36" s="25"/>
      <c r="F36" s="25"/>
      <c r="G36" s="25"/>
      <c r="H36" s="25"/>
      <c r="V36" s="28" t="e">
        <f t="shared" si="28"/>
        <v>#VALUE!</v>
      </c>
      <c r="W36" s="28">
        <f t="shared" si="29"/>
        <v>-1.9599639845400536</v>
      </c>
      <c r="X36" s="28">
        <f t="shared" si="30"/>
        <v>1.9599639845400536</v>
      </c>
      <c r="Y36" s="28" t="e">
        <f t="shared" si="31"/>
        <v>#VALUE!</v>
      </c>
      <c r="Z36" s="28" t="e">
        <f t="shared" si="32"/>
        <v>#VALUE!</v>
      </c>
    </row>
    <row r="37" spans="2:26" ht="15.6" x14ac:dyDescent="0.3">
      <c r="B37" s="46" t="s">
        <v>117</v>
      </c>
      <c r="C37"/>
      <c r="D37"/>
      <c r="E37"/>
      <c r="F37"/>
      <c r="G37"/>
      <c r="H37"/>
      <c r="J37" s="3"/>
      <c r="K37" s="46" t="s">
        <v>119</v>
      </c>
      <c r="L37" s="3"/>
      <c r="M37" s="3"/>
      <c r="N37" s="3"/>
      <c r="O37" s="3"/>
      <c r="P37" s="3"/>
      <c r="Q37" s="3"/>
      <c r="V37" s="28" t="e">
        <f t="shared" si="28"/>
        <v>#VALUE!</v>
      </c>
      <c r="W37" s="28">
        <f t="shared" si="29"/>
        <v>-1.9599639845400536</v>
      </c>
      <c r="X37" s="28">
        <f t="shared" si="30"/>
        <v>1.9599639845400536</v>
      </c>
      <c r="Y37" s="28" t="e">
        <f t="shared" si="31"/>
        <v>#VALUE!</v>
      </c>
      <c r="Z37" s="28" t="e">
        <f t="shared" si="32"/>
        <v>#VALUE!</v>
      </c>
    </row>
    <row r="38" spans="2:26" ht="15" thickBot="1" x14ac:dyDescent="0.35">
      <c r="B38"/>
      <c r="C38"/>
      <c r="D38"/>
      <c r="E38"/>
      <c r="F38"/>
      <c r="G38"/>
      <c r="H38"/>
      <c r="J38" s="3"/>
      <c r="K38" s="3"/>
      <c r="L38" s="3"/>
      <c r="M38" s="3"/>
      <c r="N38" s="3"/>
      <c r="O38" s="3"/>
      <c r="P38" s="3"/>
      <c r="Q38" s="3"/>
      <c r="V38" s="28" t="e">
        <f t="shared" si="28"/>
        <v>#VALUE!</v>
      </c>
      <c r="W38" s="28">
        <f t="shared" si="29"/>
        <v>-1.9599639845400536</v>
      </c>
      <c r="X38" s="28">
        <f t="shared" si="30"/>
        <v>1.9599639845400536</v>
      </c>
      <c r="Y38" s="28" t="e">
        <f t="shared" si="31"/>
        <v>#VALUE!</v>
      </c>
      <c r="Z38" s="28" t="e">
        <f t="shared" si="32"/>
        <v>#VALUE!</v>
      </c>
    </row>
    <row r="39" spans="2:26" ht="15" thickBot="1" x14ac:dyDescent="0.35">
      <c r="B39" s="48" t="s">
        <v>4</v>
      </c>
      <c r="C39" s="51" t="s">
        <v>37</v>
      </c>
      <c r="D39" s="51" t="s">
        <v>53</v>
      </c>
      <c r="E39" s="48" t="s">
        <v>84</v>
      </c>
      <c r="F39" s="59" t="s">
        <v>11</v>
      </c>
      <c r="G39" s="48" t="s">
        <v>2</v>
      </c>
      <c r="H39" s="59" t="s">
        <v>52</v>
      </c>
      <c r="J39" s="3"/>
      <c r="K39" s="48" t="s">
        <v>4</v>
      </c>
      <c r="L39" s="48" t="s">
        <v>41</v>
      </c>
      <c r="M39" s="3"/>
      <c r="N39" s="3"/>
      <c r="O39" s="3"/>
      <c r="P39" s="3"/>
      <c r="Q39" s="3"/>
      <c r="V39" s="8"/>
      <c r="W39" s="8"/>
      <c r="X39" s="8"/>
      <c r="Y39" s="8"/>
      <c r="Z39" s="8"/>
    </row>
    <row r="40" spans="2:26" x14ac:dyDescent="0.3">
      <c r="B40" s="19" t="str">
        <f t="shared" ref="B40:B45" si="33">B7</f>
        <v/>
      </c>
      <c r="C40" s="14"/>
      <c r="D40" s="20" t="str">
        <f t="shared" ref="D40:D45" si="34">IFERROR(D7-C40,"")</f>
        <v/>
      </c>
      <c r="E40" s="20" t="str">
        <f>IF(B7="","",SQRT((E7^2/Data!T7)+(E7^2/Data!T8)))</f>
        <v/>
      </c>
      <c r="F40" s="27" t="str">
        <f>IFERROR(D40/E40,"")</f>
        <v/>
      </c>
      <c r="G40" s="42" t="str">
        <f>IFERROR(Data!T7+Data!T8-2,"")</f>
        <v/>
      </c>
      <c r="H40" s="20" t="str">
        <f t="shared" ref="H40:H45" si="35">IFERROR(IF(TDIST(ABS(F40),G40,2)&lt;0.001,"&lt; 0.001",TDIST(ABS(F40),G40,2)),"")</f>
        <v/>
      </c>
      <c r="J40" s="3"/>
      <c r="K40" s="19" t="str">
        <f t="shared" ref="K40:K45" si="36">K7</f>
        <v/>
      </c>
      <c r="L40" s="14"/>
      <c r="M40" s="3"/>
      <c r="N40" s="3"/>
      <c r="O40" s="3"/>
      <c r="P40" s="3"/>
      <c r="Q40" s="3"/>
    </row>
    <row r="41" spans="2:26" x14ac:dyDescent="0.3">
      <c r="B41" s="21" t="str">
        <f t="shared" si="33"/>
        <v/>
      </c>
      <c r="C41" s="15"/>
      <c r="D41" s="22" t="str">
        <f t="shared" si="34"/>
        <v/>
      </c>
      <c r="E41" s="22" t="str">
        <f>IF(B8="","",SQRT((E8^2/Data!T7)+(E8^2/Data!T9)))</f>
        <v/>
      </c>
      <c r="F41" s="29" t="str">
        <f t="shared" ref="F41:F45" si="37">IFERROR(D41/E41,"")</f>
        <v/>
      </c>
      <c r="G41" s="43" t="str">
        <f>IFERROR(Data!T7+Data!T9-2,"")</f>
        <v/>
      </c>
      <c r="H41" s="22" t="str">
        <f t="shared" si="35"/>
        <v/>
      </c>
      <c r="J41" s="3"/>
      <c r="K41" s="21" t="str">
        <f t="shared" si="36"/>
        <v/>
      </c>
      <c r="L41" s="15"/>
      <c r="M41" s="3"/>
      <c r="N41" s="3"/>
      <c r="O41" s="3"/>
      <c r="P41" s="3"/>
      <c r="Q41" s="3"/>
    </row>
    <row r="42" spans="2:26" x14ac:dyDescent="0.3">
      <c r="B42" s="21" t="str">
        <f t="shared" si="33"/>
        <v/>
      </c>
      <c r="C42" s="15"/>
      <c r="D42" s="22" t="str">
        <f t="shared" si="34"/>
        <v/>
      </c>
      <c r="E42" s="22" t="str">
        <f>IF(B9="","",SQRT((E9^2/Data!T8)+(E9^2/Data!T9)))</f>
        <v/>
      </c>
      <c r="F42" s="29" t="str">
        <f t="shared" si="37"/>
        <v/>
      </c>
      <c r="G42" s="43" t="str">
        <f>IFERROR(Data!T8+Data!T9-2,"")</f>
        <v/>
      </c>
      <c r="H42" s="22" t="str">
        <f t="shared" si="35"/>
        <v/>
      </c>
      <c r="J42" s="3"/>
      <c r="K42" s="21" t="str">
        <f t="shared" si="36"/>
        <v/>
      </c>
      <c r="L42" s="15"/>
      <c r="M42" s="3"/>
      <c r="N42" s="3"/>
      <c r="O42" s="3"/>
      <c r="P42" s="3"/>
      <c r="Q42" s="3"/>
    </row>
    <row r="43" spans="2:26" x14ac:dyDescent="0.3">
      <c r="B43" s="21" t="str">
        <f t="shared" si="33"/>
        <v/>
      </c>
      <c r="C43" s="15"/>
      <c r="D43" s="22" t="str">
        <f t="shared" si="34"/>
        <v/>
      </c>
      <c r="E43" s="22" t="str">
        <f>IF(B10="","",SQRT((E10^2/Data!T7)+(E10^2/Data!T10)))</f>
        <v/>
      </c>
      <c r="F43" s="29" t="str">
        <f t="shared" si="37"/>
        <v/>
      </c>
      <c r="G43" s="43" t="str">
        <f>IFERROR(Data!T7+Data!T10-2,"")</f>
        <v/>
      </c>
      <c r="H43" s="22" t="str">
        <f t="shared" si="35"/>
        <v/>
      </c>
      <c r="J43" s="3"/>
      <c r="K43" s="21" t="str">
        <f t="shared" si="36"/>
        <v/>
      </c>
      <c r="L43" s="15"/>
      <c r="M43" s="3"/>
      <c r="N43" s="3"/>
      <c r="O43" s="3"/>
      <c r="P43" s="3"/>
      <c r="Q43" s="3"/>
    </row>
    <row r="44" spans="2:26" x14ac:dyDescent="0.3">
      <c r="B44" s="21" t="str">
        <f t="shared" si="33"/>
        <v/>
      </c>
      <c r="C44" s="15"/>
      <c r="D44" s="22" t="str">
        <f t="shared" si="34"/>
        <v/>
      </c>
      <c r="E44" s="22" t="str">
        <f>IF(B11="","",SQRT((E11^2/Data!T8)+(E11^2/Data!T10)))</f>
        <v/>
      </c>
      <c r="F44" s="29" t="str">
        <f t="shared" si="37"/>
        <v/>
      </c>
      <c r="G44" s="43" t="str">
        <f>IFERROR(Data!T8+Data!T10-2,"")</f>
        <v/>
      </c>
      <c r="H44" s="22" t="str">
        <f t="shared" si="35"/>
        <v/>
      </c>
      <c r="J44" s="3"/>
      <c r="K44" s="21" t="str">
        <f t="shared" si="36"/>
        <v/>
      </c>
      <c r="L44" s="15"/>
      <c r="M44" s="3"/>
      <c r="N44" s="3"/>
      <c r="O44" s="3"/>
      <c r="P44" s="3"/>
      <c r="Q44" s="3"/>
    </row>
    <row r="45" spans="2:26" ht="15" thickBot="1" x14ac:dyDescent="0.35">
      <c r="B45" s="23" t="str">
        <f t="shared" si="33"/>
        <v/>
      </c>
      <c r="C45" s="16"/>
      <c r="D45" s="24" t="str">
        <f t="shared" si="34"/>
        <v/>
      </c>
      <c r="E45" s="24" t="str">
        <f>IF(B12="","",SQRT((E12^2/Data!T9)+(E12^2/Data!T10)))</f>
        <v/>
      </c>
      <c r="F45" s="30" t="str">
        <f t="shared" si="37"/>
        <v/>
      </c>
      <c r="G45" s="44" t="str">
        <f>IFERROR(Data!T9+Data!T10-2,"")</f>
        <v/>
      </c>
      <c r="H45" s="24" t="str">
        <f t="shared" si="35"/>
        <v/>
      </c>
      <c r="J45" s="3"/>
      <c r="K45" s="23" t="str">
        <f t="shared" si="36"/>
        <v/>
      </c>
      <c r="L45" s="16"/>
      <c r="M45" s="3"/>
      <c r="N45" s="3"/>
      <c r="O45" s="3"/>
      <c r="P45" s="3"/>
      <c r="Q45" s="3"/>
    </row>
    <row r="46" spans="2:26" x14ac:dyDescent="0.3">
      <c r="B46" s="8"/>
      <c r="C46" s="2"/>
      <c r="D46" s="8"/>
      <c r="E46" s="2"/>
      <c r="F46" s="8"/>
      <c r="G46" s="8"/>
      <c r="H46" s="8"/>
      <c r="J46" s="3"/>
      <c r="K46" s="8"/>
      <c r="L46" s="2"/>
      <c r="M46" s="3"/>
      <c r="N46" s="3"/>
      <c r="O46" s="3"/>
      <c r="P46" s="3"/>
      <c r="Q46" s="3"/>
    </row>
    <row r="52" spans="1:9" x14ac:dyDescent="0.3">
      <c r="A52"/>
      <c r="C52"/>
      <c r="D52"/>
      <c r="E52"/>
      <c r="F52"/>
      <c r="G52"/>
      <c r="H52"/>
      <c r="I52"/>
    </row>
    <row r="53" spans="1:9" x14ac:dyDescent="0.3">
      <c r="B53"/>
    </row>
  </sheetData>
  <sheetProtection sheet="1" selectLockedCells="1"/>
  <mergeCells count="5">
    <mergeCell ref="B2:H2"/>
    <mergeCell ref="K2:Q2"/>
    <mergeCell ref="T2:Z2"/>
    <mergeCell ref="G6:H6"/>
    <mergeCell ref="P6:Q6"/>
  </mergeCells>
  <printOptions horizontalCentered="1"/>
  <pageMargins left="0.7" right="0.7" top="0.75" bottom="0.75" header="0.3" footer="0.3"/>
  <pageSetup orientation="portrait" r:id="rId1"/>
  <headerFooter>
    <oddHeader>&amp;LEASE: Estimation Approach to Statistics with Excel&amp;RDesign: Single Factor, Between-Subjects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Intro</vt:lpstr>
      <vt:lpstr>Data</vt:lpstr>
      <vt:lpstr>Means</vt:lpstr>
      <vt:lpstr>OneComp</vt:lpstr>
      <vt:lpstr>Pairwise</vt:lpstr>
    </vt:vector>
  </TitlesOfParts>
  <Manager>Department of Psychology</Manager>
  <Company>University of Wisconsin - Stevens Point</Company>
  <LinksUpToDate>false</LinksUpToDate>
  <SharedDoc>false</SharedDoc>
  <HyperlinkBase>https://github.com/cwendorf/BASE</HyperlinkBase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EASE(D) - One Way</dc:title>
  <dc:subject>Statistics</dc:subject>
  <dc:creator>Craig A. Wendorf</dc:creator>
  <cp:keywords>confidence intervals, effect sizes</cp:keywords>
  <cp:lastModifiedBy>Wendorf, Craig</cp:lastModifiedBy>
  <cp:lastPrinted>2017-03-14T15:33:49Z</cp:lastPrinted>
  <dcterms:created xsi:type="dcterms:W3CDTF">2010-01-13T12:26:09Z</dcterms:created>
  <dcterms:modified xsi:type="dcterms:W3CDTF">2025-01-05T15:19:11Z</dcterms:modified>
</cp:coreProperties>
</file>