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ARISE/"/>
    </mc:Choice>
  </mc:AlternateContent>
  <xr:revisionPtr revIDLastSave="36" documentId="114_{4BF4E6E3-AE86-46AD-8AA4-F46126A3673D}" xr6:coauthVersionLast="47" xr6:coauthVersionMax="47" xr10:uidLastSave="{57DA18D5-490E-4ACD-B9B5-0DF2F996223F}"/>
  <bookViews>
    <workbookView xWindow="-108" yWindow="-108" windowWidth="23256" windowHeight="12456" xr2:uid="{00000000-000D-0000-FFFF-FFFF00000000}"/>
  </bookViews>
  <sheets>
    <sheet name="Intro" sheetId="19" r:id="rId1"/>
    <sheet name="Data" sheetId="17" r:id="rId2"/>
    <sheet name="Analyses" sheetId="18" r:id="rId3"/>
  </sheets>
  <externalReferences>
    <externalReference r:id="rId4"/>
    <externalReference r:id="rId5"/>
    <externalReference r:id="rId6"/>
  </externalReferences>
  <definedNames>
    <definedName name="_xlnm._FilterDatabase" localSheetId="1" hidden="1">Data!$K$6:$M$6</definedName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6" i="17" l="1"/>
  <c r="U11" i="17"/>
  <c r="C11" i="18"/>
  <c r="B11" i="18"/>
  <c r="U10" i="17"/>
  <c r="C10" i="18"/>
  <c r="B10" i="18"/>
  <c r="U9" i="17"/>
  <c r="C9" i="18"/>
  <c r="B9" i="18"/>
  <c r="U8" i="17"/>
  <c r="C8" i="18"/>
  <c r="B8" i="18"/>
  <c r="U7" i="17"/>
  <c r="C7" i="18"/>
  <c r="B7" i="18"/>
  <c r="D11" i="18"/>
  <c r="D10" i="18"/>
  <c r="D9" i="18"/>
  <c r="M6" i="17"/>
  <c r="V8" i="17" a="1"/>
  <c r="V8" i="17"/>
  <c r="D8" i="18"/>
  <c r="V7" i="17" a="1"/>
  <c r="V7" i="17"/>
  <c r="D7" i="18"/>
  <c r="W12" i="17"/>
  <c r="V28" i="17"/>
  <c r="N32" i="18"/>
  <c r="W7" i="17"/>
  <c r="W8" i="17"/>
  <c r="W9" i="17"/>
  <c r="W10" i="17"/>
  <c r="W11" i="17"/>
  <c r="V26" i="17"/>
  <c r="N30" i="18"/>
  <c r="U26" i="17" a="1"/>
  <c r="U26" i="17"/>
  <c r="M30" i="18"/>
  <c r="V12" i="17"/>
  <c r="U28" i="17"/>
  <c r="Z26" i="17"/>
  <c r="W26" i="17"/>
  <c r="V9" i="17" a="1"/>
  <c r="V9" i="17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V10" i="17" a="1"/>
  <c r="V10" i="17"/>
  <c r="V11" i="17" a="1"/>
  <c r="V11" i="17"/>
  <c r="X11" i="17"/>
  <c r="O11" i="18"/>
  <c r="F11" i="18"/>
  <c r="X10" i="17"/>
  <c r="O10" i="18"/>
  <c r="F10" i="18"/>
  <c r="X9" i="17"/>
  <c r="O9" i="18"/>
  <c r="F9" i="18"/>
  <c r="X8" i="17"/>
  <c r="O8" i="18"/>
  <c r="F8" i="18"/>
  <c r="E11" i="18"/>
  <c r="E10" i="18"/>
  <c r="E9" i="18"/>
  <c r="E8" i="18"/>
  <c r="X7" i="17"/>
  <c r="O7" i="18"/>
  <c r="F7" i="18"/>
  <c r="E7" i="18"/>
  <c r="M25" i="18"/>
  <c r="M24" i="18"/>
  <c r="M23" i="18"/>
  <c r="M22" i="18"/>
  <c r="M21" i="18"/>
  <c r="M20" i="18"/>
  <c r="M19" i="18"/>
  <c r="M18" i="18"/>
  <c r="M17" i="18"/>
  <c r="M16" i="18"/>
  <c r="W28" i="17"/>
  <c r="O32" i="18"/>
  <c r="M32" i="18"/>
  <c r="K32" i="18"/>
  <c r="O30" i="18"/>
  <c r="Q29" i="18"/>
  <c r="P29" i="18"/>
  <c r="O29" i="18"/>
  <c r="N29" i="18"/>
  <c r="M29" i="18"/>
  <c r="K29" i="18"/>
  <c r="N25" i="18"/>
  <c r="N24" i="18"/>
  <c r="N23" i="18"/>
  <c r="N22" i="18"/>
  <c r="N21" i="18"/>
  <c r="N20" i="18"/>
  <c r="N19" i="18"/>
  <c r="N18" i="18"/>
  <c r="N17" i="18"/>
  <c r="N16" i="18"/>
  <c r="K7" i="18"/>
  <c r="K8" i="18"/>
  <c r="K9" i="18"/>
  <c r="K10" i="18"/>
  <c r="K11" i="18"/>
  <c r="N11" i="18"/>
  <c r="N10" i="18"/>
  <c r="N9" i="18"/>
  <c r="N8" i="18"/>
  <c r="N7" i="18"/>
  <c r="C31" i="18"/>
  <c r="E30" i="18"/>
  <c r="C30" i="18"/>
  <c r="C29" i="18"/>
  <c r="C28" i="18"/>
  <c r="E27" i="18"/>
  <c r="C27" i="18"/>
  <c r="C26" i="18"/>
  <c r="K25" i="18"/>
  <c r="C25" i="18"/>
  <c r="K24" i="18"/>
  <c r="E24" i="18"/>
  <c r="C24" i="18"/>
  <c r="K23" i="18"/>
  <c r="C23" i="18"/>
  <c r="K22" i="18"/>
  <c r="C22" i="18"/>
  <c r="K21" i="18"/>
  <c r="E21" i="18"/>
  <c r="C21" i="18"/>
  <c r="K20" i="18"/>
  <c r="C20" i="18"/>
  <c r="K19" i="18"/>
  <c r="C19" i="18"/>
  <c r="K18" i="18"/>
  <c r="E18" i="18"/>
  <c r="C18" i="18"/>
  <c r="K17" i="18"/>
  <c r="C17" i="18"/>
  <c r="K16" i="18"/>
  <c r="M11" i="18"/>
  <c r="P11" i="18"/>
  <c r="Q11" i="18"/>
  <c r="M10" i="18"/>
  <c r="P10" i="18"/>
  <c r="Q10" i="18"/>
  <c r="M9" i="18"/>
  <c r="P9" i="18"/>
  <c r="Q9" i="18"/>
  <c r="M8" i="18"/>
  <c r="P8" i="18"/>
  <c r="Q8" i="18"/>
  <c r="M7" i="18"/>
  <c r="P7" i="18"/>
  <c r="Q7" i="18"/>
  <c r="U12" i="17"/>
  <c r="X12" i="17"/>
  <c r="B22" i="17"/>
  <c r="H23" i="17"/>
  <c r="H24" i="17"/>
  <c r="H25" i="17"/>
  <c r="H26" i="17"/>
  <c r="H27" i="17"/>
  <c r="O20" i="18"/>
  <c r="P20" i="18"/>
  <c r="Q20" i="18"/>
  <c r="O17" i="18"/>
  <c r="P17" i="18"/>
  <c r="Q17" i="18"/>
  <c r="U27" i="17" a="1"/>
  <c r="U27" i="17"/>
  <c r="V27" i="17" a="1"/>
  <c r="V27" i="17"/>
  <c r="W27" i="17"/>
  <c r="O31" i="18"/>
  <c r="O16" i="18"/>
  <c r="P16" i="18"/>
  <c r="Q16" i="18"/>
  <c r="O18" i="18"/>
  <c r="P18" i="18"/>
  <c r="Q18" i="18"/>
  <c r="O21" i="18"/>
  <c r="P21" i="18"/>
  <c r="Q21" i="18"/>
  <c r="O23" i="18"/>
  <c r="P23" i="18"/>
  <c r="Q23" i="18"/>
  <c r="O25" i="18"/>
  <c r="P25" i="18"/>
  <c r="Q25" i="18"/>
  <c r="O24" i="18"/>
  <c r="P24" i="18"/>
  <c r="Q24" i="18"/>
  <c r="O22" i="18"/>
  <c r="P22" i="18"/>
  <c r="Q22" i="18"/>
  <c r="O19" i="18"/>
  <c r="P19" i="18"/>
  <c r="Q19" i="18"/>
  <c r="N31" i="18"/>
  <c r="H7" i="18"/>
  <c r="E17" i="18"/>
  <c r="G7" i="18"/>
  <c r="E19" i="18"/>
  <c r="H8" i="18"/>
  <c r="E20" i="18"/>
  <c r="G8" i="18"/>
  <c r="E22" i="18"/>
  <c r="H9" i="18"/>
  <c r="E23" i="18"/>
  <c r="G9" i="18"/>
  <c r="E25" i="18"/>
  <c r="H10" i="18"/>
  <c r="E26" i="18"/>
  <c r="G10" i="18"/>
  <c r="E28" i="18"/>
  <c r="H11" i="18"/>
  <c r="E29" i="18"/>
  <c r="G11" i="18"/>
  <c r="E31" i="18"/>
  <c r="X26" i="17"/>
  <c r="P30" i="18"/>
  <c r="Y26" i="17"/>
  <c r="Q30" i="18"/>
  <c r="M31" i="18"/>
</calcChain>
</file>

<file path=xl/sharedStrings.xml><?xml version="1.0" encoding="utf-8"?>
<sst xmlns="http://schemas.openxmlformats.org/spreadsheetml/2006/main" count="119" uniqueCount="99">
  <si>
    <t>Group</t>
  </si>
  <si>
    <t>N</t>
  </si>
  <si>
    <t>df</t>
  </si>
  <si>
    <t>t</t>
  </si>
  <si>
    <t>M</t>
  </si>
  <si>
    <t>CI %:</t>
  </si>
  <si>
    <t>p</t>
  </si>
  <si>
    <t>Contrast</t>
  </si>
  <si>
    <t>SD</t>
  </si>
  <si>
    <t>SS</t>
  </si>
  <si>
    <t>Source</t>
  </si>
  <si>
    <t>MS</t>
  </si>
  <si>
    <t>F</t>
  </si>
  <si>
    <t>Eta-Sq.</t>
  </si>
  <si>
    <t>Between</t>
  </si>
  <si>
    <t>Within</t>
  </si>
  <si>
    <t>Total</t>
  </si>
  <si>
    <t>Confidence Plots</t>
  </si>
  <si>
    <t>Point</t>
  </si>
  <si>
    <t>Label</t>
  </si>
  <si>
    <t>Axis</t>
  </si>
  <si>
    <t>SE</t>
  </si>
  <si>
    <t>Overall</t>
  </si>
  <si>
    <t>Reference Line</t>
  </si>
  <si>
    <t>Background Calculations</t>
  </si>
  <si>
    <t>Separate versions of the file can be saved for different data sets.</t>
  </si>
  <si>
    <t>Graphs can be copied and pasted into other documents.</t>
  </si>
  <si>
    <t>For all tabs, only information in yellow cells should be altered.</t>
  </si>
  <si>
    <t>Use of this Module</t>
  </si>
  <si>
    <t>University of Wisconsin - Stevens Point</t>
  </si>
  <si>
    <t>Analyses:</t>
  </si>
  <si>
    <t>Department of Psychology</t>
  </si>
  <si>
    <t>Where you summarize and enter your data</t>
  </si>
  <si>
    <t>Data:</t>
  </si>
  <si>
    <t>Craig A. Wendorf</t>
  </si>
  <si>
    <t>An overview of the module</t>
  </si>
  <si>
    <t>Intro:</t>
  </si>
  <si>
    <t>Contact Information</t>
  </si>
  <si>
    <t>Input Method: Raw Data</t>
  </si>
  <si>
    <t>Design: Single Factor, Between-Subjects</t>
  </si>
  <si>
    <t>Technical Notes</t>
  </si>
  <si>
    <t>Value</t>
  </si>
  <si>
    <t>Description</t>
  </si>
  <si>
    <t>Name</t>
  </si>
  <si>
    <t>Variable</t>
  </si>
  <si>
    <t>Correlations</t>
  </si>
  <si>
    <t>Definitions of Variables and Levels</t>
  </si>
  <si>
    <t>Project Description</t>
  </si>
  <si>
    <t>ID</t>
  </si>
  <si>
    <t>Project Name</t>
  </si>
  <si>
    <t>Descriptive Statistics</t>
  </si>
  <si>
    <t>Raw Data</t>
  </si>
  <si>
    <t>Project Summary</t>
  </si>
  <si>
    <t>Data for the Study</t>
  </si>
  <si>
    <t>Description of the Study</t>
  </si>
  <si>
    <t>Hypothesis Tests for the Means</t>
  </si>
  <si>
    <t>Relational Interval</t>
  </si>
  <si>
    <t>Hypoth</t>
  </si>
  <si>
    <t>Hypothesis Tests for the Pairwise Comparisons</t>
  </si>
  <si>
    <t>Relational Plots</t>
  </si>
  <si>
    <t>Groups</t>
  </si>
  <si>
    <t>Analysis of Variance</t>
  </si>
  <si>
    <t>Overview of the Tabs</t>
  </si>
  <si>
    <t>Provides analyses of means and differences</t>
  </si>
  <si>
    <t>Primary Reference</t>
  </si>
  <si>
    <t>Wendorf, C. A. (2012).</t>
  </si>
  <si>
    <t xml:space="preserve">Drawing inferences from multiple intervals in the single-factor design: </t>
  </si>
  <si>
    <t>Derivations, clarifications, extensions, and representations.</t>
  </si>
  <si>
    <t>Methodology: European Journal of Research Methods</t>
  </si>
  <si>
    <t>for the Behavioral and Social Sciences, 8, 125-133.</t>
  </si>
  <si>
    <t>Hypothesis Tests</t>
  </si>
  <si>
    <t>Analysis of Variance from the Summary Statistics</t>
  </si>
  <si>
    <t>Overview of ARISE</t>
  </si>
  <si>
    <t>Confidence Interval</t>
  </si>
  <si>
    <t>Between Groups</t>
  </si>
  <si>
    <t>Within Groups</t>
  </si>
  <si>
    <t>Calculation of the Intervals for the Means</t>
  </si>
  <si>
    <t>Graph of the Intervals for the Means</t>
  </si>
  <si>
    <t>Purpose of this Module</t>
  </si>
  <si>
    <t>ARISE is designed to provide real-time calculation of basic statistics.</t>
  </si>
  <si>
    <t>ARISE emphasizes arelational and relational confidence intervals (and NHST).</t>
  </si>
  <si>
    <t>ARISE calculates statistics not readily available in other statistics packages.</t>
  </si>
  <si>
    <t>Estimation Approach</t>
  </si>
  <si>
    <t>For Hypothesis Tests and Confidence Intervals</t>
  </si>
  <si>
    <t>All calculations are based on the central t distribution.</t>
  </si>
  <si>
    <t>All test and intervals are calculated independent of each other (they are not simultaneous).</t>
  </si>
  <si>
    <t>No adjustments for multiple tests or intervals have been made.</t>
  </si>
  <si>
    <t>ARISE: Arelational and Relational Interval Statistics with Excel</t>
  </si>
  <si>
    <t>This module uses raw data as input.</t>
  </si>
  <si>
    <t>This module is appropriate for one-way (single factor) between-subjects data.</t>
  </si>
  <si>
    <t>This module provides calculations and graphs of arelational and relational intervals.</t>
  </si>
  <si>
    <t>This workbook also provides null hypothesis significance tests for pairwise comparisons.</t>
  </si>
  <si>
    <t>How to Cite</t>
  </si>
  <si>
    <t>cwendorf@uwsp.edu</t>
  </si>
  <si>
    <t>http://cwendorf.github.io</t>
  </si>
  <si>
    <t>Wendorf, C. A. (2021).</t>
  </si>
  <si>
    <t>ARISE: Arelational and Relational Interval Statistics with Excel [Excel Spreadsheets].</t>
  </si>
  <si>
    <t>https://github.com/cwendorf/BASE/tree/main/ARISE</t>
  </si>
  <si>
    <t>Version: 2.241027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</si>
</sst>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ourie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</borders>
  <cellStyleXfs count="9">
    <xf numFmtId="0" fontId="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/>
    <xf numFmtId="0" fontId="13" fillId="3" borderId="3" applyNumberFormat="0" applyFont="0" applyAlignment="0" applyProtection="0"/>
    <xf numFmtId="0" fontId="13" fillId="0" borderId="0"/>
  </cellStyleXfs>
  <cellXfs count="138">
    <xf numFmtId="0" fontId="0" fillId="0" borderId="0" xfId="0"/>
    <xf numFmtId="0" fontId="0" fillId="0" borderId="0" xfId="0" applyProtection="1">
      <protection hidden="1"/>
    </xf>
    <xf numFmtId="0" fontId="2" fillId="0" borderId="0" xfId="0" applyFont="1"/>
    <xf numFmtId="164" fontId="5" fillId="0" borderId="0" xfId="0" applyNumberFormat="1" applyFont="1" applyAlignment="1">
      <alignment horizontal="center"/>
    </xf>
    <xf numFmtId="164" fontId="5" fillId="0" borderId="0" xfId="0" applyNumberFormat="1" applyFont="1" applyAlignment="1" applyProtection="1">
      <alignment horizontal="center"/>
      <protection hidden="1"/>
    </xf>
    <xf numFmtId="164" fontId="5" fillId="0" borderId="1" xfId="0" applyNumberFormat="1" applyFont="1" applyBorder="1" applyAlignment="1" applyProtection="1">
      <alignment horizontal="center"/>
      <protection hidden="1"/>
    </xf>
    <xf numFmtId="1" fontId="5" fillId="0" borderId="1" xfId="5" applyNumberFormat="1" applyFont="1" applyBorder="1" applyAlignment="1" applyProtection="1">
      <alignment horizontal="center"/>
      <protection hidden="1"/>
    </xf>
    <xf numFmtId="164" fontId="5" fillId="0" borderId="1" xfId="5" applyNumberFormat="1" applyFont="1" applyBorder="1" applyAlignment="1" applyProtection="1">
      <alignment horizontal="center"/>
      <protection hidden="1"/>
    </xf>
    <xf numFmtId="165" fontId="5" fillId="0" borderId="1" xfId="0" applyNumberFormat="1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0" fillId="0" borderId="4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4" xfId="0" applyNumberFormat="1" applyBorder="1" applyAlignment="1" applyProtection="1">
      <alignment horizontal="center"/>
      <protection hidden="1"/>
    </xf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5" xfId="0" applyNumberFormat="1" applyBorder="1" applyAlignment="1" applyProtection="1">
      <alignment horizontal="center"/>
      <protection hidden="1"/>
    </xf>
    <xf numFmtId="0" fontId="3" fillId="0" borderId="6" xfId="0" applyFont="1" applyBorder="1" applyAlignment="1">
      <alignment horizontal="center"/>
    </xf>
    <xf numFmtId="0" fontId="0" fillId="0" borderId="7" xfId="0" applyBorder="1"/>
    <xf numFmtId="0" fontId="7" fillId="0" borderId="6" xfId="0" applyFont="1" applyBorder="1" applyAlignment="1" applyProtection="1">
      <alignment horizontal="center"/>
      <protection hidden="1"/>
    </xf>
    <xf numFmtId="164" fontId="3" fillId="0" borderId="6" xfId="0" applyNumberFormat="1" applyFont="1" applyBorder="1" applyAlignment="1">
      <alignment horizontal="center"/>
    </xf>
    <xf numFmtId="0" fontId="2" fillId="0" borderId="0" xfId="0" applyFont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Alignment="1" applyProtection="1">
      <alignment horizontal="center"/>
      <protection hidden="1"/>
    </xf>
    <xf numFmtId="164" fontId="0" fillId="0" borderId="9" xfId="0" applyNumberFormat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8" fillId="0" borderId="0" xfId="0" applyFont="1" applyAlignment="1">
      <alignment horizontal="center"/>
    </xf>
    <xf numFmtId="0" fontId="9" fillId="0" borderId="0" xfId="0" applyFont="1" applyProtection="1">
      <protection hidden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164" fontId="5" fillId="0" borderId="8" xfId="0" applyNumberFormat="1" applyFont="1" applyBorder="1" applyAlignment="1" applyProtection="1">
      <alignment horizontal="center"/>
      <protection hidden="1"/>
    </xf>
    <xf numFmtId="1" fontId="5" fillId="0" borderId="8" xfId="0" applyNumberFormat="1" applyFont="1" applyBorder="1" applyAlignment="1" applyProtection="1">
      <alignment horizontal="center"/>
      <protection hidden="1"/>
    </xf>
    <xf numFmtId="164" fontId="5" fillId="0" borderId="9" xfId="0" applyNumberFormat="1" applyFont="1" applyBorder="1" applyAlignment="1" applyProtection="1">
      <alignment horizontal="center"/>
      <protection hidden="1"/>
    </xf>
    <xf numFmtId="1" fontId="5" fillId="0" borderId="9" xfId="0" applyNumberFormat="1" applyFont="1" applyBorder="1" applyAlignment="1" applyProtection="1">
      <alignment horizontal="center"/>
      <protection hidden="1"/>
    </xf>
    <xf numFmtId="164" fontId="0" fillId="0" borderId="9" xfId="0" applyNumberFormat="1" applyBorder="1" applyAlignment="1">
      <alignment horizontal="center"/>
    </xf>
    <xf numFmtId="0" fontId="5" fillId="0" borderId="0" xfId="5" applyFont="1" applyAlignment="1" applyProtection="1">
      <alignment horizontal="center"/>
      <protection hidden="1"/>
    </xf>
    <xf numFmtId="0" fontId="11" fillId="0" borderId="0" xfId="5" applyFont="1" applyAlignment="1" applyProtection="1">
      <alignment horizontal="left"/>
      <protection hidden="1"/>
    </xf>
    <xf numFmtId="0" fontId="5" fillId="0" borderId="7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0" fillId="0" borderId="8" xfId="0" applyNumberFormat="1" applyBorder="1"/>
    <xf numFmtId="0" fontId="0" fillId="0" borderId="8" xfId="0" applyBorder="1"/>
    <xf numFmtId="164" fontId="0" fillId="0" borderId="1" xfId="0" applyNumberFormat="1" applyBorder="1"/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9" xfId="0" applyFon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left"/>
    </xf>
    <xf numFmtId="0" fontId="5" fillId="4" borderId="6" xfId="0" applyFont="1" applyFill="1" applyBorder="1" applyAlignment="1">
      <alignment horizontal="center"/>
    </xf>
    <xf numFmtId="164" fontId="0" fillId="0" borderId="9" xfId="0" applyNumberFormat="1" applyBorder="1"/>
    <xf numFmtId="164" fontId="0" fillId="0" borderId="9" xfId="0" applyNumberFormat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3" fillId="4" borderId="6" xfId="0" applyFont="1" applyFill="1" applyBorder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0" fillId="0" borderId="5" xfId="0" applyBorder="1"/>
    <xf numFmtId="0" fontId="0" fillId="0" borderId="5" xfId="0" applyBorder="1" applyAlignment="1" applyProtection="1">
      <alignment horizontal="center"/>
      <protection hidden="1"/>
    </xf>
    <xf numFmtId="0" fontId="0" fillId="0" borderId="1" xfId="0" applyBorder="1"/>
    <xf numFmtId="164" fontId="0" fillId="0" borderId="1" xfId="0" applyNumberFormat="1" applyBorder="1" applyAlignment="1" applyProtection="1">
      <alignment horizontal="center"/>
      <protection hidden="1"/>
    </xf>
    <xf numFmtId="0" fontId="3" fillId="0" borderId="6" xfId="0" applyFont="1" applyBorder="1"/>
    <xf numFmtId="0" fontId="5" fillId="0" borderId="6" xfId="0" applyFont="1" applyBorder="1"/>
    <xf numFmtId="0" fontId="5" fillId="0" borderId="6" xfId="0" applyFont="1" applyBorder="1" applyAlignment="1">
      <alignment horizontal="center"/>
    </xf>
    <xf numFmtId="0" fontId="0" fillId="0" borderId="4" xfId="0" applyBorder="1"/>
    <xf numFmtId="0" fontId="0" fillId="0" borderId="4" xfId="0" applyBorder="1" applyAlignment="1" applyProtection="1">
      <alignment horizontal="center"/>
      <protection hidden="1"/>
    </xf>
    <xf numFmtId="0" fontId="0" fillId="0" borderId="6" xfId="0" applyBorder="1"/>
    <xf numFmtId="0" fontId="3" fillId="0" borderId="18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4" fontId="5" fillId="2" borderId="1" xfId="5" applyNumberFormat="1" applyFont="1" applyFill="1" applyBorder="1" applyAlignment="1" applyProtection="1">
      <alignment horizontal="center"/>
      <protection locked="0"/>
    </xf>
    <xf numFmtId="1" fontId="5" fillId="0" borderId="1" xfId="0" applyNumberFormat="1" applyFont="1" applyBorder="1" applyAlignment="1" applyProtection="1">
      <alignment horizontal="center"/>
      <protection hidden="1"/>
    </xf>
    <xf numFmtId="164" fontId="5" fillId="2" borderId="8" xfId="5" applyNumberFormat="1" applyFont="1" applyFill="1" applyBorder="1" applyAlignment="1" applyProtection="1">
      <alignment horizontal="center"/>
      <protection locked="0"/>
    </xf>
    <xf numFmtId="164" fontId="5" fillId="3" borderId="4" xfId="7" applyNumberFormat="1" applyFont="1" applyBorder="1" applyAlignment="1" applyProtection="1">
      <alignment horizontal="center"/>
      <protection locked="0"/>
    </xf>
    <xf numFmtId="164" fontId="5" fillId="0" borderId="9" xfId="0" applyNumberFormat="1" applyFont="1" applyBorder="1" applyAlignment="1">
      <alignment horizontal="center"/>
    </xf>
    <xf numFmtId="164" fontId="5" fillId="3" borderId="1" xfId="7" applyNumberFormat="1" applyFont="1" applyBorder="1" applyAlignment="1" applyProtection="1">
      <alignment horizontal="center"/>
      <protection locked="0"/>
    </xf>
    <xf numFmtId="164" fontId="5" fillId="0" borderId="1" xfId="0" applyNumberFormat="1" applyFont="1" applyBorder="1" applyAlignment="1">
      <alignment horizontal="center"/>
    </xf>
    <xf numFmtId="164" fontId="5" fillId="3" borderId="8" xfId="7" applyNumberFormat="1" applyFont="1" applyBorder="1" applyAlignment="1" applyProtection="1">
      <alignment horizontal="center"/>
      <protection locked="0"/>
    </xf>
    <xf numFmtId="164" fontId="5" fillId="0" borderId="8" xfId="0" applyNumberFormat="1" applyFont="1" applyBorder="1" applyAlignment="1">
      <alignment horizontal="center"/>
    </xf>
    <xf numFmtId="0" fontId="8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/>
    <xf numFmtId="0" fontId="5" fillId="0" borderId="9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0" fillId="0" borderId="8" xfId="0" applyBorder="1" applyAlignment="1">
      <alignment horizontal="center"/>
    </xf>
    <xf numFmtId="0" fontId="5" fillId="0" borderId="8" xfId="0" applyFont="1" applyBorder="1" applyAlignment="1" applyProtection="1">
      <alignment horizontal="center"/>
      <protection hidden="1"/>
    </xf>
    <xf numFmtId="0" fontId="3" fillId="0" borderId="6" xfId="0" applyFont="1" applyBorder="1" applyAlignment="1" applyProtection="1">
      <alignment horizontal="center"/>
      <protection hidden="1"/>
    </xf>
    <xf numFmtId="0" fontId="5" fillId="3" borderId="3" xfId="7" applyNumberFormat="1" applyFont="1" applyAlignment="1" applyProtection="1">
      <alignment horizontal="center"/>
      <protection locked="0"/>
    </xf>
    <xf numFmtId="0" fontId="10" fillId="0" borderId="0" xfId="6" applyProtection="1">
      <protection hidden="1"/>
    </xf>
    <xf numFmtId="0" fontId="5" fillId="0" borderId="0" xfId="5" applyFont="1" applyAlignment="1">
      <alignment horizontal="center"/>
    </xf>
    <xf numFmtId="0" fontId="11" fillId="0" borderId="0" xfId="5" applyFont="1" applyAlignment="1">
      <alignment horizontal="left"/>
    </xf>
    <xf numFmtId="0" fontId="5" fillId="0" borderId="0" xfId="5" applyFont="1"/>
    <xf numFmtId="2" fontId="5" fillId="0" borderId="0" xfId="5" applyNumberFormat="1" applyFont="1" applyAlignment="1">
      <alignment horizontal="center"/>
    </xf>
    <xf numFmtId="0" fontId="7" fillId="0" borderId="6" xfId="5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5" fillId="0" borderId="9" xfId="5" applyFont="1" applyBorder="1" applyAlignment="1">
      <alignment horizontal="center"/>
    </xf>
    <xf numFmtId="164" fontId="5" fillId="0" borderId="1" xfId="5" applyNumberFormat="1" applyFont="1" applyBorder="1" applyAlignment="1">
      <alignment horizontal="center"/>
    </xf>
    <xf numFmtId="164" fontId="5" fillId="0" borderId="9" xfId="5" applyNumberFormat="1" applyFont="1" applyBorder="1" applyAlignment="1">
      <alignment horizontal="center"/>
    </xf>
    <xf numFmtId="164" fontId="5" fillId="0" borderId="4" xfId="5" applyNumberFormat="1" applyFont="1" applyBorder="1" applyAlignment="1">
      <alignment horizontal="center"/>
    </xf>
    <xf numFmtId="0" fontId="5" fillId="0" borderId="1" xfId="5" applyFont="1" applyBorder="1" applyAlignment="1">
      <alignment horizontal="center"/>
    </xf>
    <xf numFmtId="164" fontId="5" fillId="0" borderId="8" xfId="5" applyNumberFormat="1" applyFont="1" applyBorder="1" applyAlignment="1">
      <alignment horizontal="center"/>
    </xf>
    <xf numFmtId="164" fontId="5" fillId="0" borderId="0" xfId="5" applyNumberFormat="1" applyFont="1" applyAlignment="1">
      <alignment horizontal="center"/>
    </xf>
    <xf numFmtId="164" fontId="7" fillId="0" borderId="6" xfId="0" applyNumberFormat="1" applyFont="1" applyBorder="1"/>
    <xf numFmtId="164" fontId="7" fillId="0" borderId="6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left"/>
    </xf>
    <xf numFmtId="1" fontId="5" fillId="0" borderId="9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left"/>
    </xf>
    <xf numFmtId="1" fontId="5" fillId="0" borderId="1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left"/>
    </xf>
    <xf numFmtId="1" fontId="5" fillId="0" borderId="8" xfId="0" applyNumberFormat="1" applyFont="1" applyBorder="1" applyAlignment="1">
      <alignment horizontal="center"/>
    </xf>
    <xf numFmtId="0" fontId="5" fillId="0" borderId="8" xfId="5" applyFont="1" applyBorder="1" applyAlignment="1">
      <alignment horizontal="center"/>
    </xf>
    <xf numFmtId="0" fontId="14" fillId="0" borderId="0" xfId="0" applyFont="1" applyProtection="1"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8" fillId="0" borderId="0" xfId="0" applyFont="1" applyAlignment="1">
      <alignment horizontal="center"/>
    </xf>
    <xf numFmtId="0" fontId="14" fillId="0" borderId="0" xfId="0" applyFont="1" applyAlignment="1" applyProtection="1">
      <alignment horizontal="center"/>
      <protection hidden="1"/>
    </xf>
    <xf numFmtId="0" fontId="16" fillId="0" borderId="0" xfId="6" applyFont="1" applyFill="1" applyAlignment="1" applyProtection="1">
      <alignment horizontal="center"/>
      <protection hidden="1"/>
    </xf>
    <xf numFmtId="0" fontId="5" fillId="2" borderId="14" xfId="0" applyFont="1" applyFill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horizontal="left"/>
      <protection locked="0"/>
    </xf>
    <xf numFmtId="0" fontId="5" fillId="2" borderId="13" xfId="0" applyFont="1" applyFill="1" applyBorder="1" applyAlignment="1" applyProtection="1">
      <alignment horizontal="left"/>
      <protection locked="0"/>
    </xf>
    <xf numFmtId="0" fontId="5" fillId="2" borderId="8" xfId="0" quotePrefix="1" applyFont="1" applyFill="1" applyBorder="1" applyAlignment="1" applyProtection="1">
      <alignment horizontal="left"/>
      <protection locked="0"/>
    </xf>
    <xf numFmtId="0" fontId="5" fillId="2" borderId="8" xfId="0" applyFont="1" applyFill="1" applyBorder="1" applyAlignment="1" applyProtection="1">
      <alignment horizontal="left"/>
      <protection locked="0"/>
    </xf>
    <xf numFmtId="0" fontId="5" fillId="2" borderId="12" xfId="0" applyFont="1" applyFill="1" applyBorder="1" applyAlignment="1" applyProtection="1">
      <alignment horizontal="left"/>
      <protection locked="0"/>
    </xf>
    <xf numFmtId="0" fontId="5" fillId="2" borderId="11" xfId="0" applyFont="1" applyFill="1" applyBorder="1" applyAlignment="1" applyProtection="1">
      <alignment horizontal="left"/>
      <protection locked="0"/>
    </xf>
    <xf numFmtId="0" fontId="5" fillId="2" borderId="7" xfId="0" applyFont="1" applyFill="1" applyBorder="1" applyAlignment="1" applyProtection="1">
      <alignment horizontal="left" vertical="top"/>
      <protection locked="0"/>
    </xf>
    <xf numFmtId="0" fontId="5" fillId="2" borderId="17" xfId="0" applyFont="1" applyFill="1" applyBorder="1" applyAlignment="1" applyProtection="1">
      <alignment horizontal="left" vertical="top"/>
      <protection locked="0"/>
    </xf>
    <xf numFmtId="0" fontId="5" fillId="2" borderId="7" xfId="0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0" fontId="5" fillId="2" borderId="17" xfId="0" applyFont="1" applyFill="1" applyBorder="1" applyAlignment="1" applyProtection="1">
      <alignment horizontal="left" vertical="top" wrapText="1"/>
      <protection locked="0"/>
    </xf>
    <xf numFmtId="0" fontId="5" fillId="2" borderId="9" xfId="0" applyFont="1" applyFill="1" applyBorder="1" applyAlignment="1" applyProtection="1">
      <alignment horizontal="left"/>
      <protection locked="0"/>
    </xf>
    <xf numFmtId="0" fontId="5" fillId="2" borderId="16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3" fillId="4" borderId="6" xfId="0" applyFont="1" applyFill="1" applyBorder="1" applyAlignment="1">
      <alignment horizontal="left"/>
    </xf>
    <xf numFmtId="0" fontId="7" fillId="0" borderId="6" xfId="5" applyFont="1" applyBorder="1" applyAlignment="1">
      <alignment horizontal="center"/>
    </xf>
  </cellXfs>
  <cellStyles count="9">
    <cellStyle name="Hyperlink" xfId="6" builtinId="8"/>
    <cellStyle name="Normal" xfId="0" builtinId="0"/>
    <cellStyle name="Normal 2" xfId="1" xr:uid="{00000000-0005-0000-0000-000002000000}"/>
    <cellStyle name="Normal 2 2" xfId="3" xr:uid="{00000000-0005-0000-0000-000003000000}"/>
    <cellStyle name="Normal 2 3" xfId="2" xr:uid="{00000000-0005-0000-0000-000004000000}"/>
    <cellStyle name="Normal 2 3 2" xfId="4" xr:uid="{00000000-0005-0000-0000-000005000000}"/>
    <cellStyle name="Normal 3" xfId="8" xr:uid="{00000000-0005-0000-0000-000006000000}"/>
    <cellStyle name="Normal_EffectSizeCalculator" xfId="5" xr:uid="{00000000-0005-0000-0000-000007000000}"/>
    <cellStyle name="Note 2" xfId="7" xr:uid="{00000000-0005-0000-0000-000008000000}"/>
  </cellStyles>
  <dxfs count="0"/>
  <tableStyles count="0" defaultTableStyle="TableStyleMedium9" defaultPivotStyle="PivotStyleLight16"/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cat>
            <c:multiLvlStrRef>
              <c:f>Analyses!$B$7:$B$11</c:f>
            </c:multiLvlStrRef>
          </c:cat>
          <c:val>
            <c:numRef>
              <c:f>Analyses!$C$7:$C$11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5-4389-9DB7-A63C0458F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Analyses!$G$17:$G$31</c:f>
              <c:numCache>
                <c:formatCode>0.000</c:formatCode>
                <c:ptCount val="15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</c:numCache>
              <c:extLst xmlns:c15="http://schemas.microsoft.com/office/drawing/2012/chart"/>
            </c:numRef>
          </c:xVal>
          <c:yVal>
            <c:numRef>
              <c:f>Analyses!$H$17:$H$31</c:f>
              <c:numCache>
                <c:formatCode>0.000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475-4389-9DB7-A63C0458FDFD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475-4389-9DB7-A63C0458FDF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475-4389-9DB7-A63C0458FDFD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Analyses!$B$17:$B$19</c:f>
              <c:numCache>
                <c:formatCode>0.000</c:formatCode>
                <c:ptCount val="3"/>
                <c:pt idx="0">
                  <c:v>1.1499999999999999</c:v>
                </c:pt>
                <c:pt idx="1">
                  <c:v>1.1499999999999999</c:v>
                </c:pt>
                <c:pt idx="2">
                  <c:v>1.1499999999999999</c:v>
                </c:pt>
              </c:numCache>
            </c:numRef>
          </c:xVal>
          <c:yVal>
            <c:numRef>
              <c:f>Analyses!$C$17:$C$19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475-4389-9DB7-A63C0458FDFD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475-4389-9DB7-A63C0458FDF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475-4389-9DB7-A63C0458FDFD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Analyses!$B$20:$B$22</c:f>
              <c:numCache>
                <c:formatCode>0.000</c:formatCode>
                <c:ptCount val="3"/>
                <c:pt idx="0">
                  <c:v>2.15</c:v>
                </c:pt>
                <c:pt idx="1">
                  <c:v>2.15</c:v>
                </c:pt>
                <c:pt idx="2">
                  <c:v>2.15</c:v>
                </c:pt>
              </c:numCache>
            </c:numRef>
          </c:xVal>
          <c:yVal>
            <c:numRef>
              <c:f>Analyses!$C$20:$C$22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475-4389-9DB7-A63C0458FDFD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C475-4389-9DB7-A63C0458FDF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475-4389-9DB7-A63C0458FDFD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Analyses!$B$23:$B$25</c:f>
              <c:numCache>
                <c:formatCode>0.000</c:formatCode>
                <c:ptCount val="3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</c:numCache>
            </c:numRef>
          </c:xVal>
          <c:yVal>
            <c:numRef>
              <c:f>Analyses!$C$23:$C$25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475-4389-9DB7-A63C0458FDFD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475-4389-9DB7-A63C0458FDF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475-4389-9DB7-A63C0458FD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Analyses!$B$26:$B$28</c:f>
              <c:numCache>
                <c:formatCode>0.000</c:formatCode>
                <c:ptCount val="3"/>
                <c:pt idx="0">
                  <c:v>4.1500000000000004</c:v>
                </c:pt>
                <c:pt idx="1">
                  <c:v>4.1500000000000004</c:v>
                </c:pt>
                <c:pt idx="2">
                  <c:v>4.1500000000000004</c:v>
                </c:pt>
              </c:numCache>
            </c:numRef>
          </c:xVal>
          <c:yVal>
            <c:numRef>
              <c:f>Analyses!$C$26:$C$28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475-4389-9DB7-A63C0458FDFD}"/>
            </c:ext>
          </c:extLst>
        </c:ser>
        <c:ser>
          <c:idx val="6"/>
          <c:order val="6"/>
          <c:tx>
            <c:v>CIFive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C475-4389-9DB7-A63C0458FDF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475-4389-9DB7-A63C0458FDFD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Analyses!$B$29:$B$31</c:f>
              <c:numCache>
                <c:formatCode>0.000</c:formatCode>
                <c:ptCount val="3"/>
                <c:pt idx="0">
                  <c:v>5.15</c:v>
                </c:pt>
                <c:pt idx="1">
                  <c:v>5.15</c:v>
                </c:pt>
                <c:pt idx="2">
                  <c:v>5.15</c:v>
                </c:pt>
              </c:numCache>
            </c:numRef>
          </c:xVal>
          <c:yVal>
            <c:numRef>
              <c:f>Analyses!$C$29:$C$31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475-4389-9DB7-A63C0458FDFD}"/>
            </c:ext>
          </c:extLst>
        </c:ser>
        <c:ser>
          <c:idx val="7"/>
          <c:order val="7"/>
          <c:tx>
            <c:v>Data</c:v>
          </c:tx>
          <c:spPr>
            <a:ln>
              <a:noFill/>
            </a:ln>
          </c:spPr>
          <c:marker>
            <c:symbol val="circle"/>
            <c:size val="5"/>
            <c:spPr>
              <a:noFill/>
              <a:ln w="6350">
                <a:solidFill>
                  <a:schemeClr val="accent1"/>
                </a:solidFill>
              </a:ln>
            </c:spPr>
          </c:marker>
          <c:xVal>
            <c:numRef>
              <c:f>Data!$L$7:$L$507</c:f>
              <c:numCache>
                <c:formatCode>General</c:formatCode>
                <c:ptCount val="501"/>
              </c:numCache>
            </c:numRef>
          </c:xVal>
          <c:yVal>
            <c:numRef>
              <c:f>Data!$M$7:$M$507</c:f>
              <c:numCache>
                <c:formatCode>General</c:formatCode>
                <c:ptCount val="50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C475-4389-9DB7-A63C0458FDFD}"/>
            </c:ext>
          </c:extLst>
        </c:ser>
        <c:ser>
          <c:idx val="8"/>
          <c:order val="8"/>
          <c:tx>
            <c:v>RIOne</c:v>
          </c:tx>
          <c:spPr>
            <a:ln w="120650" cap="sq">
              <a:solidFill>
                <a:schemeClr val="bg1">
                  <a:lumMod val="65000"/>
                  <a:alpha val="50000"/>
                </a:schemeClr>
              </a:solidFill>
            </a:ln>
          </c:spPr>
          <c:marker>
            <c:symbol val="none"/>
          </c:marker>
          <c:xVal>
            <c:numRef>
              <c:f>Analyses!$B$17:$B$19</c:f>
              <c:numCache>
                <c:formatCode>0.000</c:formatCode>
                <c:ptCount val="3"/>
                <c:pt idx="0">
                  <c:v>1.1499999999999999</c:v>
                </c:pt>
                <c:pt idx="1">
                  <c:v>1.1499999999999999</c:v>
                </c:pt>
                <c:pt idx="2">
                  <c:v>1.1499999999999999</c:v>
                </c:pt>
              </c:numCache>
            </c:numRef>
          </c:xVal>
          <c:yVal>
            <c:numRef>
              <c:f>Analyses!$E$17:$E$19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C475-4389-9DB7-A63C0458FDFD}"/>
            </c:ext>
          </c:extLst>
        </c:ser>
        <c:ser>
          <c:idx val="9"/>
          <c:order val="9"/>
          <c:tx>
            <c:v>RITwo</c:v>
          </c:tx>
          <c:spPr>
            <a:ln w="127000" cap="sq">
              <a:solidFill>
                <a:schemeClr val="bg1">
                  <a:lumMod val="65000"/>
                  <a:alpha val="50000"/>
                </a:schemeClr>
              </a:solidFill>
            </a:ln>
          </c:spPr>
          <c:marker>
            <c:symbol val="none"/>
          </c:marker>
          <c:xVal>
            <c:numRef>
              <c:f>Analyses!$B$20:$B$22</c:f>
              <c:numCache>
                <c:formatCode>0.000</c:formatCode>
                <c:ptCount val="3"/>
                <c:pt idx="0">
                  <c:v>2.15</c:v>
                </c:pt>
                <c:pt idx="1">
                  <c:v>2.15</c:v>
                </c:pt>
                <c:pt idx="2">
                  <c:v>2.15</c:v>
                </c:pt>
              </c:numCache>
            </c:numRef>
          </c:xVal>
          <c:yVal>
            <c:numRef>
              <c:f>Analyses!$E$20:$E$22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C475-4389-9DB7-A63C0458FDFD}"/>
            </c:ext>
          </c:extLst>
        </c:ser>
        <c:ser>
          <c:idx val="10"/>
          <c:order val="10"/>
          <c:tx>
            <c:v>RIThree</c:v>
          </c:tx>
          <c:spPr>
            <a:ln w="127000" cap="sq">
              <a:solidFill>
                <a:schemeClr val="bg1">
                  <a:lumMod val="65000"/>
                  <a:alpha val="50000"/>
                </a:schemeClr>
              </a:solidFill>
            </a:ln>
          </c:spPr>
          <c:marker>
            <c:symbol val="none"/>
          </c:marker>
          <c:xVal>
            <c:numRef>
              <c:f>Analyses!$B$23:$B$25</c:f>
              <c:numCache>
                <c:formatCode>0.000</c:formatCode>
                <c:ptCount val="3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</c:numCache>
            </c:numRef>
          </c:xVal>
          <c:yVal>
            <c:numRef>
              <c:f>Analyses!$E$23:$E$25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C475-4389-9DB7-A63C0458FDFD}"/>
            </c:ext>
          </c:extLst>
        </c:ser>
        <c:ser>
          <c:idx val="11"/>
          <c:order val="11"/>
          <c:tx>
            <c:v>RIFour</c:v>
          </c:tx>
          <c:spPr>
            <a:ln w="127000" cap="sq">
              <a:solidFill>
                <a:schemeClr val="bg1">
                  <a:lumMod val="65000"/>
                  <a:alpha val="50000"/>
                </a:schemeClr>
              </a:solidFill>
            </a:ln>
          </c:spPr>
          <c:marker>
            <c:symbol val="none"/>
          </c:marker>
          <c:xVal>
            <c:numRef>
              <c:f>Analyses!$B$26:$B$28</c:f>
              <c:numCache>
                <c:formatCode>0.000</c:formatCode>
                <c:ptCount val="3"/>
                <c:pt idx="0">
                  <c:v>4.1500000000000004</c:v>
                </c:pt>
                <c:pt idx="1">
                  <c:v>4.1500000000000004</c:v>
                </c:pt>
                <c:pt idx="2">
                  <c:v>4.1500000000000004</c:v>
                </c:pt>
              </c:numCache>
            </c:numRef>
          </c:xVal>
          <c:yVal>
            <c:numRef>
              <c:f>Analyses!$E$26:$E$28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C475-4389-9DB7-A63C0458FDFD}"/>
            </c:ext>
          </c:extLst>
        </c:ser>
        <c:ser>
          <c:idx val="12"/>
          <c:order val="12"/>
          <c:tx>
            <c:v>RIFive</c:v>
          </c:tx>
          <c:spPr>
            <a:ln w="127000" cap="sq">
              <a:solidFill>
                <a:schemeClr val="bg1">
                  <a:lumMod val="65000"/>
                  <a:alpha val="50000"/>
                </a:schemeClr>
              </a:solidFill>
            </a:ln>
          </c:spPr>
          <c:marker>
            <c:symbol val="none"/>
          </c:marker>
          <c:xVal>
            <c:numRef>
              <c:f>Analyses!$B$29:$B$31</c:f>
              <c:numCache>
                <c:formatCode>0.000</c:formatCode>
                <c:ptCount val="3"/>
                <c:pt idx="0">
                  <c:v>5.15</c:v>
                </c:pt>
                <c:pt idx="1">
                  <c:v>5.15</c:v>
                </c:pt>
                <c:pt idx="2">
                  <c:v>5.15</c:v>
                </c:pt>
              </c:numCache>
            </c:numRef>
          </c:xVal>
          <c:yVal>
            <c:numRef>
              <c:f>Analyses!$E$29:$E$31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C475-4389-9DB7-A63C0458F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  <c:extLst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Means (plus CIs and RIs)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13</xdr:row>
      <xdr:rowOff>186690</xdr:rowOff>
    </xdr:from>
    <xdr:to>
      <xdr:col>8</xdr:col>
      <xdr:colOff>11430</xdr:colOff>
      <xdr:row>33</xdr:row>
      <xdr:rowOff>34290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wendorf@uwsp.edu" TargetMode="External"/><Relationship Id="rId2" Type="http://schemas.openxmlformats.org/officeDocument/2006/relationships/hyperlink" Target="http://cwendorf.github.io/" TargetMode="External"/><Relationship Id="rId1" Type="http://schemas.openxmlformats.org/officeDocument/2006/relationships/hyperlink" Target="https://github.com/cwendorf/BASE/tree/main/ARISE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2"/>
  <sheetViews>
    <sheetView tabSelected="1" zoomScaleNormal="100" workbookViewId="0">
      <selection activeCell="K4" sqref="K4:Q4"/>
    </sheetView>
  </sheetViews>
  <sheetFormatPr defaultColWidth="11.109375" defaultRowHeight="15" customHeight="1" x14ac:dyDescent="0.3"/>
  <cols>
    <col min="1" max="1" width="4.5546875" customWidth="1"/>
    <col min="9" max="10" width="4.5546875" customWidth="1"/>
    <col min="18" max="19" width="4.5546875" customWidth="1"/>
  </cols>
  <sheetData>
    <row r="1" spans="1:17" ht="15" customHeight="1" x14ac:dyDescent="0.3">
      <c r="A1" s="27"/>
      <c r="B1" s="27"/>
      <c r="C1" s="27"/>
      <c r="D1" s="27"/>
      <c r="E1" s="27"/>
      <c r="F1" s="27"/>
      <c r="G1" s="27"/>
      <c r="H1" s="27"/>
    </row>
    <row r="2" spans="1:17" ht="18" customHeight="1" x14ac:dyDescent="0.35">
      <c r="B2" s="117" t="s">
        <v>87</v>
      </c>
      <c r="C2" s="117"/>
      <c r="D2" s="117"/>
      <c r="E2" s="117"/>
      <c r="F2" s="117"/>
      <c r="G2" s="117"/>
      <c r="H2" s="117"/>
      <c r="I2" s="83"/>
      <c r="J2" s="83"/>
      <c r="K2" s="118" t="s">
        <v>40</v>
      </c>
      <c r="L2" s="118"/>
      <c r="M2" s="118"/>
      <c r="N2" s="118"/>
      <c r="O2" s="118"/>
      <c r="P2" s="118"/>
      <c r="Q2" s="118"/>
    </row>
    <row r="3" spans="1:17" ht="18" customHeight="1" x14ac:dyDescent="0.35">
      <c r="A3" s="27"/>
      <c r="B3" s="119" t="s">
        <v>39</v>
      </c>
      <c r="C3" s="119"/>
      <c r="D3" s="119"/>
      <c r="E3" s="119"/>
      <c r="F3" s="119"/>
      <c r="G3" s="119"/>
      <c r="H3" s="119"/>
      <c r="I3" s="116"/>
      <c r="J3" s="116"/>
      <c r="K3" s="119" t="s">
        <v>98</v>
      </c>
      <c r="L3" s="119"/>
      <c r="M3" s="119"/>
      <c r="N3" s="119"/>
      <c r="O3" s="119"/>
      <c r="P3" s="119"/>
      <c r="Q3" s="119"/>
    </row>
    <row r="4" spans="1:17" s="86" customFormat="1" ht="18" customHeight="1" x14ac:dyDescent="0.35">
      <c r="A4" s="85"/>
      <c r="B4" s="119" t="s">
        <v>38</v>
      </c>
      <c r="C4" s="119"/>
      <c r="D4" s="119"/>
      <c r="E4" s="119"/>
      <c r="F4" s="119"/>
      <c r="G4" s="119"/>
      <c r="H4" s="119"/>
      <c r="I4" s="116"/>
      <c r="J4" s="116"/>
      <c r="K4" s="120" t="s">
        <v>97</v>
      </c>
      <c r="L4" s="119"/>
      <c r="M4" s="119"/>
      <c r="N4" s="119"/>
      <c r="O4" s="119"/>
      <c r="P4" s="119"/>
      <c r="Q4" s="119"/>
    </row>
    <row r="5" spans="1:17" ht="15" customHeight="1" x14ac:dyDescent="0.3">
      <c r="A5" s="27"/>
      <c r="B5" s="27"/>
      <c r="C5" s="27"/>
      <c r="D5" s="27"/>
      <c r="E5" s="27"/>
      <c r="F5" s="27"/>
      <c r="G5" s="27"/>
      <c r="H5" s="27"/>
    </row>
    <row r="6" spans="1:17" ht="15" customHeight="1" x14ac:dyDescent="0.3">
      <c r="B6" s="23" t="s">
        <v>72</v>
      </c>
      <c r="C6" s="1"/>
      <c r="D6" s="1"/>
      <c r="E6" s="1"/>
      <c r="F6" s="1"/>
      <c r="G6" s="1"/>
      <c r="H6" s="1"/>
      <c r="I6" s="1"/>
      <c r="J6" s="1"/>
      <c r="K6" s="23" t="s">
        <v>83</v>
      </c>
    </row>
    <row r="7" spans="1:17" ht="15" customHeight="1" x14ac:dyDescent="0.3">
      <c r="A7" s="27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7" ht="15" customHeight="1" x14ac:dyDescent="0.3">
      <c r="A8" s="27"/>
      <c r="B8" s="1" t="s">
        <v>79</v>
      </c>
      <c r="C8" s="1"/>
      <c r="D8" s="1"/>
      <c r="E8" s="1"/>
      <c r="F8" s="1"/>
      <c r="G8" s="1"/>
      <c r="H8" s="1"/>
      <c r="I8" s="1"/>
      <c r="J8" s="1"/>
      <c r="K8" s="1" t="s">
        <v>84</v>
      </c>
    </row>
    <row r="9" spans="1:17" ht="15" customHeight="1" x14ac:dyDescent="0.3">
      <c r="A9" s="27"/>
      <c r="B9" s="1" t="s">
        <v>80</v>
      </c>
      <c r="C9" s="1"/>
      <c r="D9" s="1"/>
      <c r="E9" s="1"/>
      <c r="F9" s="1"/>
      <c r="G9" s="1"/>
      <c r="H9" s="1"/>
      <c r="I9" s="1"/>
      <c r="J9" s="1"/>
      <c r="K9" s="1" t="s">
        <v>85</v>
      </c>
    </row>
    <row r="10" spans="1:17" ht="15" customHeight="1" x14ac:dyDescent="0.3">
      <c r="A10" s="27"/>
      <c r="B10" s="1" t="s">
        <v>81</v>
      </c>
      <c r="C10" s="1"/>
      <c r="D10" s="1"/>
      <c r="E10" s="1"/>
      <c r="F10" s="1"/>
      <c r="G10" s="1"/>
      <c r="H10" s="1"/>
      <c r="I10" s="1"/>
      <c r="J10" s="1"/>
      <c r="K10" s="1" t="s">
        <v>86</v>
      </c>
    </row>
    <row r="11" spans="1:17" ht="15" customHeight="1" x14ac:dyDescent="0.3">
      <c r="A11" s="27"/>
      <c r="C11" s="27"/>
      <c r="D11" s="27"/>
      <c r="E11" s="27"/>
      <c r="F11" s="27"/>
      <c r="G11" s="27"/>
      <c r="H11" s="27"/>
    </row>
    <row r="12" spans="1:17" ht="15" customHeight="1" x14ac:dyDescent="0.3">
      <c r="A12" s="27"/>
      <c r="B12" s="23" t="s">
        <v>78</v>
      </c>
      <c r="C12" s="27"/>
      <c r="D12" s="27"/>
      <c r="E12" s="27"/>
      <c r="F12" s="27"/>
      <c r="G12" s="27"/>
      <c r="H12" s="27"/>
      <c r="K12" s="23" t="s">
        <v>64</v>
      </c>
    </row>
    <row r="13" spans="1:17" ht="15" customHeight="1" x14ac:dyDescent="0.3">
      <c r="A13" s="27"/>
      <c r="B13" s="27"/>
      <c r="E13" s="27"/>
      <c r="F13" s="27"/>
      <c r="G13" s="27"/>
      <c r="H13" s="27"/>
      <c r="K13" s="27"/>
    </row>
    <row r="14" spans="1:17" ht="15" customHeight="1" x14ac:dyDescent="0.3">
      <c r="A14" s="27"/>
      <c r="B14" s="27" t="s">
        <v>89</v>
      </c>
      <c r="E14" s="27"/>
      <c r="F14" s="27"/>
      <c r="G14" s="27"/>
      <c r="H14" s="27"/>
      <c r="K14" s="27" t="s">
        <v>65</v>
      </c>
    </row>
    <row r="15" spans="1:17" ht="15" customHeight="1" x14ac:dyDescent="0.3">
      <c r="A15" s="27"/>
      <c r="B15" s="27" t="s">
        <v>88</v>
      </c>
      <c r="E15" s="27"/>
      <c r="F15" s="27"/>
      <c r="G15" s="27"/>
      <c r="H15" s="27"/>
      <c r="K15" s="12" t="s">
        <v>66</v>
      </c>
    </row>
    <row r="16" spans="1:17" ht="15" customHeight="1" x14ac:dyDescent="0.3">
      <c r="A16" s="27"/>
      <c r="B16" s="27" t="s">
        <v>90</v>
      </c>
      <c r="D16" s="27"/>
      <c r="E16" s="27"/>
      <c r="F16" s="27"/>
      <c r="G16" s="27"/>
      <c r="H16" s="27"/>
      <c r="K16" s="84" t="s">
        <v>67</v>
      </c>
    </row>
    <row r="17" spans="1:11" ht="15" customHeight="1" x14ac:dyDescent="0.3">
      <c r="B17" s="27" t="s">
        <v>91</v>
      </c>
      <c r="C17" s="27"/>
      <c r="D17" s="27"/>
      <c r="E17" s="27"/>
      <c r="F17" s="27"/>
      <c r="G17" s="27"/>
      <c r="H17" s="27"/>
      <c r="K17" s="30" t="s">
        <v>68</v>
      </c>
    </row>
    <row r="18" spans="1:11" ht="15" customHeight="1" x14ac:dyDescent="0.3">
      <c r="A18" s="27"/>
      <c r="C18" s="27"/>
      <c r="D18" s="27"/>
      <c r="E18" s="27"/>
      <c r="F18" s="27"/>
      <c r="G18" s="27"/>
      <c r="H18" s="27"/>
      <c r="K18" s="30" t="s">
        <v>69</v>
      </c>
    </row>
    <row r="19" spans="1:11" ht="15" customHeight="1" x14ac:dyDescent="0.3">
      <c r="A19" s="27"/>
      <c r="D19" s="27"/>
      <c r="E19" s="27"/>
      <c r="F19" s="27"/>
      <c r="G19" s="27"/>
      <c r="H19" s="27"/>
    </row>
    <row r="20" spans="1:11" ht="15" customHeight="1" x14ac:dyDescent="0.3">
      <c r="A20" s="27"/>
      <c r="B20" s="23" t="s">
        <v>62</v>
      </c>
      <c r="C20" s="27"/>
      <c r="D20" s="27"/>
      <c r="E20" s="27"/>
      <c r="F20" s="27"/>
      <c r="G20" s="27"/>
      <c r="H20" s="27"/>
      <c r="K20" s="23" t="s">
        <v>37</v>
      </c>
    </row>
    <row r="21" spans="1:11" ht="15" customHeight="1" x14ac:dyDescent="0.3">
      <c r="A21" s="27"/>
      <c r="B21" s="27"/>
      <c r="C21" s="27"/>
      <c r="D21" s="27"/>
      <c r="E21" s="27"/>
      <c r="F21" s="27"/>
      <c r="G21" s="27"/>
      <c r="H21" s="27"/>
      <c r="K21" s="27"/>
    </row>
    <row r="22" spans="1:11" ht="15" customHeight="1" x14ac:dyDescent="0.3">
      <c r="A22" s="27"/>
      <c r="B22" s="27" t="s">
        <v>36</v>
      </c>
      <c r="C22" s="27" t="s">
        <v>35</v>
      </c>
      <c r="D22" s="27"/>
      <c r="E22" s="27"/>
      <c r="F22" s="27"/>
      <c r="G22" s="27"/>
      <c r="H22" s="27"/>
      <c r="K22" s="27" t="s">
        <v>34</v>
      </c>
    </row>
    <row r="23" spans="1:11" ht="15" customHeight="1" x14ac:dyDescent="0.3">
      <c r="A23" s="27"/>
      <c r="B23" s="27" t="s">
        <v>33</v>
      </c>
      <c r="C23" s="27" t="s">
        <v>32</v>
      </c>
      <c r="D23" s="27"/>
      <c r="E23" s="27"/>
      <c r="F23" s="27"/>
      <c r="G23" s="27"/>
      <c r="H23" s="27"/>
      <c r="K23" s="27" t="s">
        <v>31</v>
      </c>
    </row>
    <row r="24" spans="1:11" ht="15" customHeight="1" x14ac:dyDescent="0.3">
      <c r="B24" s="27" t="s">
        <v>30</v>
      </c>
      <c r="C24" s="27" t="s">
        <v>63</v>
      </c>
      <c r="D24" s="27"/>
      <c r="E24" s="27"/>
      <c r="F24" s="27"/>
      <c r="G24" s="27"/>
      <c r="H24" s="27"/>
      <c r="K24" s="27" t="s">
        <v>29</v>
      </c>
    </row>
    <row r="25" spans="1:11" ht="15" customHeight="1" x14ac:dyDescent="0.3">
      <c r="A25" s="27"/>
      <c r="C25" s="27"/>
      <c r="D25" s="27"/>
      <c r="E25" s="27"/>
      <c r="F25" s="27"/>
      <c r="G25" s="27"/>
      <c r="H25" s="27"/>
      <c r="K25" s="93" t="s">
        <v>93</v>
      </c>
    </row>
    <row r="26" spans="1:11" ht="15" customHeight="1" x14ac:dyDescent="0.3">
      <c r="A26" s="27"/>
      <c r="K26" s="93" t="s">
        <v>94</v>
      </c>
    </row>
    <row r="27" spans="1:11" ht="15" customHeight="1" x14ac:dyDescent="0.3">
      <c r="A27" s="27"/>
      <c r="C27" s="27"/>
      <c r="D27" s="27"/>
      <c r="E27" s="27"/>
      <c r="F27" s="27"/>
      <c r="G27" s="27"/>
      <c r="H27" s="27"/>
    </row>
    <row r="28" spans="1:11" ht="15" customHeight="1" x14ac:dyDescent="0.3">
      <c r="A28" s="27"/>
      <c r="B28" s="23" t="s">
        <v>28</v>
      </c>
      <c r="C28" s="27"/>
      <c r="D28" s="27"/>
      <c r="E28" s="27"/>
      <c r="F28" s="27"/>
      <c r="G28" s="27"/>
      <c r="H28" s="27"/>
      <c r="K28" s="23" t="s">
        <v>92</v>
      </c>
    </row>
    <row r="29" spans="1:11" ht="15" customHeight="1" x14ac:dyDescent="0.3">
      <c r="A29" s="27"/>
      <c r="B29" s="27"/>
      <c r="C29" s="27"/>
      <c r="D29" s="27"/>
      <c r="E29" s="27"/>
      <c r="F29" s="27"/>
      <c r="G29" s="27"/>
      <c r="H29" s="27"/>
      <c r="K29" s="27"/>
    </row>
    <row r="30" spans="1:11" ht="15" customHeight="1" x14ac:dyDescent="0.3">
      <c r="B30" s="27" t="s">
        <v>27</v>
      </c>
      <c r="C30" s="27"/>
      <c r="D30" s="27"/>
      <c r="E30" s="27"/>
      <c r="F30" s="27"/>
      <c r="G30" s="27"/>
      <c r="H30" s="27"/>
      <c r="K30" s="27" t="s">
        <v>95</v>
      </c>
    </row>
    <row r="31" spans="1:11" ht="15" customHeight="1" x14ac:dyDescent="0.3">
      <c r="B31" s="27" t="s">
        <v>26</v>
      </c>
      <c r="C31" s="27"/>
      <c r="K31" s="1" t="s">
        <v>96</v>
      </c>
    </row>
    <row r="32" spans="1:11" ht="15" customHeight="1" x14ac:dyDescent="0.3">
      <c r="B32" s="27" t="s">
        <v>25</v>
      </c>
      <c r="K32" s="27" t="s">
        <v>97</v>
      </c>
    </row>
  </sheetData>
  <sheetProtection sheet="1" objects="1" scenarios="1"/>
  <mergeCells count="6">
    <mergeCell ref="B2:H2"/>
    <mergeCell ref="K2:Q2"/>
    <mergeCell ref="B3:H3"/>
    <mergeCell ref="K3:Q3"/>
    <mergeCell ref="B4:H4"/>
    <mergeCell ref="K4:Q4"/>
  </mergeCells>
  <hyperlinks>
    <hyperlink ref="K4" r:id="rId1" xr:uid="{00000000-0004-0000-0000-000000000000}"/>
    <hyperlink ref="K26" r:id="rId2" xr:uid="{00000000-0004-0000-0000-000001000000}"/>
    <hyperlink ref="K25" r:id="rId3" xr:uid="{8037B645-5FA1-4113-BE85-EF4C09A7DAC1}"/>
  </hyperlinks>
  <pageMargins left="0.7" right="0.7" top="0.75" bottom="0.75" header="0.3" footer="0.3"/>
  <pageSetup orientation="portrait" r:id="rId4"/>
  <headerFooter>
    <oddHeader>&amp;LArelational and Relational Intervals with Excel (ARISE)&amp;RDesign: Single Factor,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A35"/>
  <sheetViews>
    <sheetView showRuler="0" zoomScaleNormal="100" workbookViewId="0">
      <selection activeCell="K10" sqref="K10"/>
    </sheetView>
  </sheetViews>
  <sheetFormatPr defaultColWidth="11.21875" defaultRowHeight="15" customHeight="1" x14ac:dyDescent="0.3"/>
  <cols>
    <col min="1" max="1" width="4.6640625" customWidth="1"/>
    <col min="9" max="10" width="4.6640625" customWidth="1"/>
    <col min="11" max="13" width="11.21875" style="31"/>
    <col min="18" max="18" width="4.6640625" customWidth="1"/>
    <col min="19" max="19" width="4.6640625" hidden="1" customWidth="1"/>
    <col min="20" max="26" width="0" hidden="1" customWidth="1"/>
    <col min="27" max="27" width="4.6640625" hidden="1" customWidth="1"/>
    <col min="28" max="28" width="4.6640625" customWidth="1"/>
  </cols>
  <sheetData>
    <row r="1" spans="2:26" ht="15" customHeight="1" x14ac:dyDescent="0.3">
      <c r="K1" s="60"/>
      <c r="L1" s="73"/>
      <c r="M1" s="73"/>
    </row>
    <row r="2" spans="2:26" ht="18" customHeight="1" x14ac:dyDescent="0.35">
      <c r="B2" s="118" t="s">
        <v>54</v>
      </c>
      <c r="C2" s="118"/>
      <c r="D2" s="118"/>
      <c r="E2" s="118"/>
      <c r="F2" s="118"/>
      <c r="G2" s="118"/>
      <c r="H2" s="118"/>
      <c r="K2" s="118" t="s">
        <v>53</v>
      </c>
      <c r="L2" s="118"/>
      <c r="M2" s="118"/>
      <c r="N2" s="118"/>
      <c r="O2" s="118"/>
      <c r="P2" s="118"/>
      <c r="Q2" s="118"/>
      <c r="T2" s="118" t="s">
        <v>24</v>
      </c>
      <c r="U2" s="118"/>
      <c r="V2" s="118"/>
      <c r="W2" s="118"/>
      <c r="X2" s="118"/>
      <c r="Y2" s="118"/>
      <c r="Z2" s="118"/>
    </row>
    <row r="3" spans="2:26" ht="15" customHeight="1" x14ac:dyDescent="0.35">
      <c r="K3" s="29"/>
      <c r="L3" s="29"/>
      <c r="M3" s="29"/>
      <c r="N3" s="29"/>
      <c r="O3" s="29"/>
      <c r="P3" s="29"/>
      <c r="Q3" s="29"/>
      <c r="T3" s="29"/>
      <c r="U3" s="29"/>
      <c r="V3" s="29"/>
      <c r="W3" s="29"/>
      <c r="X3" s="29"/>
      <c r="Y3" s="29"/>
      <c r="Z3" s="29"/>
    </row>
    <row r="4" spans="2:26" ht="15" customHeight="1" x14ac:dyDescent="0.3">
      <c r="B4" s="23" t="s">
        <v>52</v>
      </c>
      <c r="C4" s="12"/>
      <c r="D4" s="12"/>
      <c r="E4" s="12"/>
      <c r="F4" s="12"/>
      <c r="G4" s="12"/>
      <c r="H4" s="12"/>
      <c r="K4" s="23" t="s">
        <v>51</v>
      </c>
      <c r="L4" s="73"/>
      <c r="M4" s="73"/>
      <c r="T4" s="2" t="s">
        <v>50</v>
      </c>
    </row>
    <row r="5" spans="2:26" ht="15" customHeight="1" thickBot="1" x14ac:dyDescent="0.35">
      <c r="B5" s="12"/>
      <c r="C5" s="12"/>
      <c r="D5" s="12"/>
      <c r="E5" s="12"/>
      <c r="F5" s="10"/>
      <c r="G5" s="12"/>
      <c r="H5" s="12"/>
      <c r="K5" s="60"/>
      <c r="L5" s="73"/>
      <c r="M5" s="73"/>
    </row>
    <row r="6" spans="2:26" ht="15" customHeight="1" thickBot="1" x14ac:dyDescent="0.35">
      <c r="B6" s="53" t="s">
        <v>49</v>
      </c>
      <c r="C6" s="53"/>
      <c r="D6" s="53"/>
      <c r="E6" s="53"/>
      <c r="F6" s="53"/>
      <c r="G6" s="53"/>
      <c r="H6" s="53"/>
      <c r="K6" s="72" t="s">
        <v>48</v>
      </c>
      <c r="L6" s="72" t="str">
        <f>IF(B19="","",B19)</f>
        <v/>
      </c>
      <c r="M6" s="72" t="str">
        <f>IF(B20="","",B20)</f>
        <v/>
      </c>
      <c r="T6" s="19" t="s">
        <v>0</v>
      </c>
      <c r="U6" s="19" t="s">
        <v>4</v>
      </c>
      <c r="V6" s="19" t="s">
        <v>8</v>
      </c>
      <c r="W6" s="19" t="s">
        <v>1</v>
      </c>
      <c r="X6" s="19" t="s">
        <v>21</v>
      </c>
      <c r="Y6" s="71"/>
      <c r="Z6" s="71"/>
    </row>
    <row r="7" spans="2:26" ht="15" customHeight="1" x14ac:dyDescent="0.3">
      <c r="B7" s="128"/>
      <c r="C7" s="128"/>
      <c r="D7" s="128"/>
      <c r="E7" s="128"/>
      <c r="F7" s="128"/>
      <c r="G7" s="128"/>
      <c r="H7" s="128"/>
      <c r="K7" s="32"/>
      <c r="L7" s="32"/>
      <c r="T7" s="13">
        <v>1</v>
      </c>
      <c r="U7" s="15" t="str">
        <f>IFERROR(AVERAGEIFS($M:$M,$L:$L,$T7),"")</f>
        <v/>
      </c>
      <c r="V7" s="15" t="str">
        <f t="array" ref="V7">IFERROR(STDEV(IF($L:$L=$T7,$M:$M)),"")</f>
        <v/>
      </c>
      <c r="W7" s="70" t="str">
        <f>IF(COUNTIF($L:$L,$T7)&lt;1,"",COUNTIF($L:$L,$T7))</f>
        <v/>
      </c>
      <c r="X7" s="14" t="str">
        <f t="shared" ref="X7:X12" si="0">IFERROR(V7/SQRT(W7),"")</f>
        <v/>
      </c>
      <c r="Y7" s="69"/>
      <c r="Z7" s="69"/>
    </row>
    <row r="8" spans="2:26" ht="15" customHeight="1" thickBot="1" x14ac:dyDescent="0.35">
      <c r="B8" s="129"/>
      <c r="C8" s="129"/>
      <c r="D8" s="129"/>
      <c r="E8" s="129"/>
      <c r="F8" s="129"/>
      <c r="G8" s="129"/>
      <c r="H8" s="129"/>
      <c r="T8" s="49">
        <v>2</v>
      </c>
      <c r="U8" s="65" t="str">
        <f>IFERROR(AVERAGEIFS($M:$M,$L:$L,$T8),"")</f>
        <v/>
      </c>
      <c r="V8" s="65" t="str">
        <f t="array" ref="V8">IFERROR(STDEV(IF($L:$L=$T8,$M:$M)),"")</f>
        <v/>
      </c>
      <c r="W8" s="9" t="str">
        <f>IF(COUNTIF($L:$L,$T8)&lt;1,"",COUNTIF($L:$L,$T8))</f>
        <v/>
      </c>
      <c r="X8" s="48" t="str">
        <f t="shared" si="0"/>
        <v/>
      </c>
      <c r="Y8" s="64"/>
      <c r="Z8" s="64"/>
    </row>
    <row r="9" spans="2:26" ht="15" customHeight="1" thickBot="1" x14ac:dyDescent="0.35">
      <c r="B9" s="67"/>
      <c r="C9" s="67"/>
      <c r="D9" s="67"/>
      <c r="E9" s="67"/>
      <c r="F9" s="68"/>
      <c r="G9" s="67"/>
      <c r="H9" s="67"/>
      <c r="T9" s="49">
        <v>3</v>
      </c>
      <c r="U9" s="65" t="str">
        <f>IFERROR(AVERAGEIFS($M:$M,$L:$L,$T9),"")</f>
        <v/>
      </c>
      <c r="V9" s="65" t="str">
        <f t="array" ref="V9">IFERROR(STDEV(IF($L:$L=$T9,$M:$M)),"")</f>
        <v/>
      </c>
      <c r="W9" s="9" t="str">
        <f>IF(COUNTIF($L:$L,$T9)&lt;1,"",COUNTIF($L:$L,$T9))</f>
        <v/>
      </c>
      <c r="X9" s="48" t="str">
        <f t="shared" si="0"/>
        <v/>
      </c>
      <c r="Y9" s="64"/>
      <c r="Z9" s="64"/>
    </row>
    <row r="10" spans="2:26" ht="15" customHeight="1" thickBot="1" x14ac:dyDescent="0.35">
      <c r="B10" s="66" t="s">
        <v>47</v>
      </c>
      <c r="C10" s="66"/>
      <c r="D10" s="66"/>
      <c r="E10" s="66"/>
      <c r="F10" s="66"/>
      <c r="G10" s="66"/>
      <c r="H10" s="66"/>
      <c r="T10" s="49">
        <v>4</v>
      </c>
      <c r="U10" s="65" t="str">
        <f>IFERROR(AVERAGEIFS($M:$M,$L:$L,$T10),"")</f>
        <v/>
      </c>
      <c r="V10" s="65" t="str">
        <f t="array" ref="V10">IFERROR(STDEV(IF($L:$L=$T10,$M:$M)),"")</f>
        <v/>
      </c>
      <c r="W10" s="9" t="str">
        <f>IF(COUNTIF($L:$L,$T10)&lt;1,"",COUNTIF($L:$L,$T10))</f>
        <v/>
      </c>
      <c r="X10" s="48" t="str">
        <f t="shared" si="0"/>
        <v/>
      </c>
      <c r="Y10" s="64"/>
      <c r="Z10" s="64"/>
    </row>
    <row r="11" spans="2:26" ht="15" customHeight="1" x14ac:dyDescent="0.3">
      <c r="B11" s="130"/>
      <c r="C11" s="130"/>
      <c r="D11" s="130"/>
      <c r="E11" s="130"/>
      <c r="F11" s="130"/>
      <c r="G11" s="130"/>
      <c r="H11" s="130"/>
      <c r="T11" s="49">
        <v>5</v>
      </c>
      <c r="U11" s="65" t="str">
        <f>IFERROR(AVERAGEIFS($M:$M,$L:$L,$T11),"")</f>
        <v/>
      </c>
      <c r="V11" s="65" t="str">
        <f t="array" ref="V11">IFERROR(STDEV(IF($L:$L=$T11,$M:$M)),"")</f>
        <v/>
      </c>
      <c r="W11" s="9" t="str">
        <f>IF(COUNTIF($L:$L,$T11)&lt;1,"",COUNTIF($L:$L,$T11))</f>
        <v/>
      </c>
      <c r="X11" s="48" t="str">
        <f t="shared" si="0"/>
        <v/>
      </c>
      <c r="Y11" s="64"/>
      <c r="Z11" s="64"/>
    </row>
    <row r="12" spans="2:26" ht="15" customHeight="1" thickBot="1" x14ac:dyDescent="0.35">
      <c r="B12" s="131"/>
      <c r="C12" s="131"/>
      <c r="D12" s="131"/>
      <c r="E12" s="131"/>
      <c r="F12" s="131"/>
      <c r="G12" s="131"/>
      <c r="H12" s="131"/>
      <c r="T12" s="16" t="s">
        <v>22</v>
      </c>
      <c r="U12" s="18" t="str">
        <f>IFERROR(AVERAGE($M:$M),"")</f>
        <v/>
      </c>
      <c r="V12" s="18" t="str">
        <f>IFERROR(STDEV($M:$M),"")</f>
        <v/>
      </c>
      <c r="W12" s="63">
        <f>IFERROR(COUNT($L:$L),"")</f>
        <v>0</v>
      </c>
      <c r="X12" s="17" t="str">
        <f t="shared" si="0"/>
        <v/>
      </c>
      <c r="Y12" s="62"/>
      <c r="Z12" s="62"/>
    </row>
    <row r="13" spans="2:26" ht="15" customHeight="1" x14ac:dyDescent="0.3">
      <c r="B13" s="131"/>
      <c r="C13" s="131"/>
      <c r="D13" s="131"/>
      <c r="E13" s="131"/>
      <c r="F13" s="131"/>
      <c r="G13" s="131"/>
      <c r="H13" s="131"/>
      <c r="T13" s="20"/>
      <c r="U13" s="20"/>
      <c r="V13" s="20"/>
      <c r="W13" s="20"/>
      <c r="X13" s="20"/>
      <c r="Y13" s="20"/>
      <c r="Z13" s="20"/>
    </row>
    <row r="14" spans="2:26" ht="15" customHeight="1" thickBot="1" x14ac:dyDescent="0.35">
      <c r="B14" s="132"/>
      <c r="C14" s="132"/>
      <c r="D14" s="132"/>
      <c r="E14" s="132"/>
      <c r="F14" s="132"/>
      <c r="G14" s="132"/>
      <c r="H14" s="132"/>
      <c r="T14" s="2" t="s">
        <v>45</v>
      </c>
    </row>
    <row r="15" spans="2:26" ht="15" customHeight="1" thickBot="1" x14ac:dyDescent="0.35">
      <c r="B15" s="12"/>
      <c r="C15" s="12"/>
      <c r="D15" s="12"/>
      <c r="E15" s="12"/>
      <c r="F15" s="10"/>
      <c r="G15" s="12"/>
      <c r="H15" s="12"/>
      <c r="Y15" s="60"/>
      <c r="Z15" s="59"/>
    </row>
    <row r="16" spans="2:26" ht="15" customHeight="1" thickBot="1" x14ac:dyDescent="0.35">
      <c r="B16" s="23" t="s">
        <v>46</v>
      </c>
      <c r="C16" s="11"/>
      <c r="D16" s="10"/>
      <c r="E16" s="10"/>
      <c r="F16" s="10"/>
      <c r="G16" s="10"/>
      <c r="H16" s="61"/>
      <c r="T16" s="19" t="s">
        <v>43</v>
      </c>
      <c r="U16" s="19"/>
      <c r="V16" s="19">
        <v>1</v>
      </c>
      <c r="W16" s="19">
        <v>2</v>
      </c>
      <c r="X16" s="19">
        <v>3</v>
      </c>
      <c r="Y16" s="19">
        <v>4</v>
      </c>
      <c r="Z16" s="19">
        <v>5</v>
      </c>
    </row>
    <row r="17" spans="2:26" ht="15" customHeight="1" thickBot="1" x14ac:dyDescent="0.35">
      <c r="B17" s="11"/>
      <c r="C17" s="11"/>
      <c r="D17" s="10"/>
      <c r="E17" s="10"/>
      <c r="F17" s="10"/>
      <c r="G17" s="10"/>
      <c r="H17" s="10"/>
      <c r="T17" s="57"/>
      <c r="U17" s="57"/>
      <c r="V17" s="37">
        <v>1</v>
      </c>
      <c r="W17" s="56"/>
      <c r="X17" s="56"/>
      <c r="Y17" s="56"/>
      <c r="Z17" s="55"/>
    </row>
    <row r="18" spans="2:26" ht="15" customHeight="1" thickBot="1" x14ac:dyDescent="0.35">
      <c r="B18" s="136" t="s">
        <v>44</v>
      </c>
      <c r="C18" s="136"/>
      <c r="D18" s="58" t="s">
        <v>42</v>
      </c>
      <c r="E18" s="58"/>
      <c r="F18" s="58"/>
      <c r="G18" s="58"/>
      <c r="H18" s="52" t="s">
        <v>41</v>
      </c>
      <c r="T18" s="49"/>
      <c r="U18" s="49"/>
      <c r="V18" s="48"/>
      <c r="W18" s="48">
        <v>1</v>
      </c>
      <c r="X18" s="51"/>
      <c r="Y18" s="51"/>
      <c r="Z18" s="47"/>
    </row>
    <row r="19" spans="2:26" ht="15" customHeight="1" x14ac:dyDescent="0.3">
      <c r="B19" s="133"/>
      <c r="C19" s="133"/>
      <c r="D19" s="134"/>
      <c r="E19" s="133"/>
      <c r="F19" s="133"/>
      <c r="G19" s="135"/>
      <c r="H19" s="50"/>
      <c r="T19" s="49"/>
      <c r="U19" s="49"/>
      <c r="V19" s="48"/>
      <c r="W19" s="48"/>
      <c r="X19" s="48">
        <v>1</v>
      </c>
      <c r="Y19" s="51"/>
      <c r="Z19" s="47"/>
    </row>
    <row r="20" spans="2:26" ht="15" customHeight="1" thickBot="1" x14ac:dyDescent="0.35">
      <c r="B20" s="124"/>
      <c r="C20" s="125"/>
      <c r="D20" s="126"/>
      <c r="E20" s="125"/>
      <c r="F20" s="125"/>
      <c r="G20" s="127"/>
      <c r="H20" s="42"/>
      <c r="T20" s="49"/>
      <c r="U20" s="49"/>
      <c r="V20" s="48"/>
      <c r="W20" s="48"/>
      <c r="X20" s="48"/>
      <c r="Y20" s="48">
        <v>1</v>
      </c>
      <c r="Z20" s="47"/>
    </row>
    <row r="21" spans="2:26" ht="15" customHeight="1" thickBot="1" x14ac:dyDescent="0.35">
      <c r="B21" s="54"/>
      <c r="C21" s="54"/>
      <c r="D21" s="54"/>
      <c r="E21" s="54"/>
      <c r="F21" s="54"/>
      <c r="G21" s="54"/>
      <c r="H21" s="54"/>
      <c r="T21" s="89"/>
      <c r="U21" s="46"/>
      <c r="V21" s="45"/>
      <c r="W21" s="45"/>
      <c r="X21" s="45"/>
      <c r="Y21" s="45"/>
      <c r="Z21" s="45">
        <v>1</v>
      </c>
    </row>
    <row r="22" spans="2:26" ht="15" customHeight="1" thickBot="1" x14ac:dyDescent="0.35">
      <c r="B22" s="136" t="str">
        <f>IF(B19="","Factor",B19)</f>
        <v>Factor</v>
      </c>
      <c r="C22" s="136"/>
      <c r="D22" s="53" t="s">
        <v>42</v>
      </c>
      <c r="E22" s="53"/>
      <c r="F22" s="53"/>
      <c r="G22" s="53"/>
      <c r="H22" s="52" t="s">
        <v>41</v>
      </c>
      <c r="T22" s="20"/>
      <c r="U22" s="20"/>
      <c r="V22" s="20"/>
      <c r="W22" s="20"/>
      <c r="X22" s="20"/>
      <c r="Y22" s="20"/>
      <c r="Z22" s="20"/>
    </row>
    <row r="23" spans="2:26" ht="15" customHeight="1" x14ac:dyDescent="0.3">
      <c r="B23" s="133"/>
      <c r="C23" s="135"/>
      <c r="D23" s="134"/>
      <c r="E23" s="133"/>
      <c r="F23" s="133"/>
      <c r="G23" s="135"/>
      <c r="H23" s="50" t="str">
        <f>IF(B23="","",1)</f>
        <v/>
      </c>
      <c r="T23" s="39" t="s">
        <v>71</v>
      </c>
      <c r="U23" s="38"/>
      <c r="V23" s="38"/>
      <c r="W23" s="38"/>
      <c r="X23" s="38"/>
      <c r="Y23" s="38"/>
      <c r="Z23" s="1"/>
    </row>
    <row r="24" spans="2:26" ht="15" customHeight="1" thickBot="1" x14ac:dyDescent="0.35">
      <c r="B24" s="122"/>
      <c r="C24" s="122"/>
      <c r="D24" s="121"/>
      <c r="E24" s="122"/>
      <c r="F24" s="122"/>
      <c r="G24" s="123"/>
      <c r="H24" s="44" t="str">
        <f>IF(B24="","",2)</f>
        <v/>
      </c>
      <c r="T24" s="38"/>
      <c r="U24" s="38"/>
      <c r="V24" s="38"/>
      <c r="W24" s="38"/>
      <c r="X24" s="38"/>
      <c r="Y24" s="38"/>
      <c r="Z24" s="1"/>
    </row>
    <row r="25" spans="2:26" ht="15" customHeight="1" thickBot="1" x14ac:dyDescent="0.35">
      <c r="B25" s="122"/>
      <c r="C25" s="122"/>
      <c r="D25" s="121"/>
      <c r="E25" s="122"/>
      <c r="F25" s="122"/>
      <c r="G25" s="123"/>
      <c r="H25" s="44" t="str">
        <f>IF(B25="","",3)</f>
        <v/>
      </c>
      <c r="T25" s="21" t="s">
        <v>10</v>
      </c>
      <c r="U25" s="21" t="s">
        <v>9</v>
      </c>
      <c r="V25" s="21" t="s">
        <v>2</v>
      </c>
      <c r="W25" s="21" t="s">
        <v>11</v>
      </c>
      <c r="X25" s="21" t="s">
        <v>12</v>
      </c>
      <c r="Y25" s="21" t="s">
        <v>6</v>
      </c>
      <c r="Z25" s="21" t="s">
        <v>13</v>
      </c>
    </row>
    <row r="26" spans="2:26" ht="15" customHeight="1" x14ac:dyDescent="0.3">
      <c r="B26" s="122"/>
      <c r="C26" s="122"/>
      <c r="D26" s="121"/>
      <c r="E26" s="122"/>
      <c r="F26" s="122"/>
      <c r="G26" s="123"/>
      <c r="H26" s="43" t="str">
        <f>IF(B26="","",4)</f>
        <v/>
      </c>
      <c r="T26" s="87" t="s">
        <v>14</v>
      </c>
      <c r="U26" s="37" t="str">
        <f t="array" ref="U26">IFERROR(DEVSQ(U7:U11)*(W7:W11),"")</f>
        <v/>
      </c>
      <c r="V26" s="36">
        <f>IFERROR(COUNT(W7:W11)-1,"")</f>
        <v>-1</v>
      </c>
      <c r="W26" s="35" t="str">
        <f>IFERROR(U26/V26,"")</f>
        <v/>
      </c>
      <c r="X26" s="35" t="str">
        <f>IFERROR(W26/W27,"")</f>
        <v/>
      </c>
      <c r="Y26" s="35" t="str">
        <f>IFERROR(IF(FDIST(X26,V26,V27)&lt;0.001,"&lt; 0.001",FDIST(X26,V26,V27)),"")</f>
        <v/>
      </c>
      <c r="Z26" s="26" t="str">
        <f>IFERROR(U26/U28,"")</f>
        <v/>
      </c>
    </row>
    <row r="27" spans="2:26" ht="15" customHeight="1" thickBot="1" x14ac:dyDescent="0.35">
      <c r="B27" s="125"/>
      <c r="C27" s="125"/>
      <c r="D27" s="126"/>
      <c r="E27" s="125"/>
      <c r="F27" s="125"/>
      <c r="G27" s="127"/>
      <c r="H27" s="42" t="str">
        <f>IF(B27="","",5)</f>
        <v/>
      </c>
      <c r="T27" s="88" t="s">
        <v>15</v>
      </c>
      <c r="U27" s="5">
        <f t="array" ref="U27">SUM(IF(W7:W11&lt;&gt;"",V7:V11^2*((W7:W11)-1),0))</f>
        <v>0</v>
      </c>
      <c r="V27" s="6">
        <f t="array" ref="V27">SUM(IF(W7:W11&lt;&gt;"",W7:W11-1))</f>
        <v>0</v>
      </c>
      <c r="W27" s="7" t="str">
        <f>IFERROR(U27/V27,"")</f>
        <v/>
      </c>
      <c r="X27" s="5"/>
      <c r="Y27" s="8"/>
      <c r="Z27" s="9"/>
    </row>
    <row r="28" spans="2:26" ht="15" customHeight="1" thickBot="1" x14ac:dyDescent="0.35">
      <c r="B28" s="40"/>
      <c r="C28" s="40"/>
      <c r="D28" s="40"/>
      <c r="E28" s="40"/>
      <c r="F28" s="41"/>
      <c r="G28" s="40"/>
      <c r="H28" s="40"/>
      <c r="T28" s="90" t="s">
        <v>16</v>
      </c>
      <c r="U28" s="33" t="str">
        <f>IFERROR((V12^2)*(W12-1),"")</f>
        <v/>
      </c>
      <c r="V28" s="34">
        <f>W12-1</f>
        <v>-1</v>
      </c>
      <c r="W28" s="33" t="str">
        <f>IFERROR(U28/V28,"")</f>
        <v/>
      </c>
      <c r="X28" s="33"/>
      <c r="Y28" s="33"/>
      <c r="Z28" s="25"/>
    </row>
    <row r="29" spans="2:26" ht="15" customHeight="1" x14ac:dyDescent="0.3">
      <c r="T29" s="24"/>
      <c r="U29" s="24"/>
      <c r="V29" s="24"/>
      <c r="W29" s="24"/>
      <c r="X29" s="24"/>
      <c r="Y29" s="24"/>
      <c r="Z29" s="24"/>
    </row>
    <row r="31" spans="2:26" ht="15" customHeight="1" x14ac:dyDescent="0.3">
      <c r="S31" s="1"/>
    </row>
    <row r="32" spans="2:26" ht="15" customHeight="1" x14ac:dyDescent="0.3">
      <c r="S32" s="1"/>
    </row>
    <row r="33" spans="13:19" ht="15" customHeight="1" x14ac:dyDescent="0.3">
      <c r="S33" s="1"/>
    </row>
    <row r="34" spans="13:19" ht="15" customHeight="1" x14ac:dyDescent="0.3">
      <c r="M34" s="32"/>
      <c r="S34" s="1"/>
    </row>
    <row r="35" spans="13:19" ht="15" customHeight="1" x14ac:dyDescent="0.3">
      <c r="S35" s="1"/>
    </row>
  </sheetData>
  <sheetProtection sheet="1" selectLockedCells="1" sort="0" autoFilter="0"/>
  <autoFilter ref="K6:M6" xr:uid="{00000000-0009-0000-0000-000001000000}"/>
  <mergeCells count="21">
    <mergeCell ref="B26:C26"/>
    <mergeCell ref="D26:G26"/>
    <mergeCell ref="B27:C27"/>
    <mergeCell ref="D27:G27"/>
    <mergeCell ref="B23:C23"/>
    <mergeCell ref="D23:G23"/>
    <mergeCell ref="B24:C24"/>
    <mergeCell ref="D24:G24"/>
    <mergeCell ref="B25:C25"/>
    <mergeCell ref="T2:Z2"/>
    <mergeCell ref="K2:Q2"/>
    <mergeCell ref="D25:G25"/>
    <mergeCell ref="B20:C20"/>
    <mergeCell ref="D20:G20"/>
    <mergeCell ref="B7:H8"/>
    <mergeCell ref="B11:H14"/>
    <mergeCell ref="B19:C19"/>
    <mergeCell ref="D19:G19"/>
    <mergeCell ref="B22:C22"/>
    <mergeCell ref="B18:C18"/>
    <mergeCell ref="B2:H2"/>
  </mergeCells>
  <pageMargins left="0.7" right="0.7" top="0.7" bottom="0.7" header="0.3" footer="0.3"/>
  <pageSetup orientation="portrait" r:id="rId1"/>
  <headerFooter>
    <oddHeader>&amp;LArelational and Relational Interval Statistics with Excel (ARISE)&amp;RDesign: Single Factor, Between-Subjects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Q75"/>
  <sheetViews>
    <sheetView zoomScaleNormal="100" workbookViewId="0">
      <selection activeCell="L7" sqref="L7"/>
    </sheetView>
  </sheetViews>
  <sheetFormatPr defaultColWidth="11.109375" defaultRowHeight="15" customHeight="1" x14ac:dyDescent="0.3"/>
  <cols>
    <col min="1" max="1" width="4.5546875" style="94" customWidth="1"/>
    <col min="2" max="8" width="11.109375" style="94"/>
    <col min="9" max="10" width="4.5546875" style="94" customWidth="1"/>
    <col min="11" max="17" width="11.109375" style="94"/>
    <col min="18" max="19" width="4.5546875" style="94" customWidth="1"/>
    <col min="20" max="16384" width="11.109375" style="94"/>
  </cols>
  <sheetData>
    <row r="2" spans="2:17" ht="18" customHeight="1" x14ac:dyDescent="0.35">
      <c r="B2" s="118" t="s">
        <v>82</v>
      </c>
      <c r="C2" s="118"/>
      <c r="D2" s="118"/>
      <c r="E2" s="118"/>
      <c r="F2" s="118"/>
      <c r="G2" s="118"/>
      <c r="H2" s="118"/>
      <c r="K2" s="118" t="s">
        <v>70</v>
      </c>
      <c r="L2" s="118"/>
      <c r="M2" s="118"/>
      <c r="N2" s="118"/>
      <c r="O2" s="118"/>
      <c r="P2" s="118"/>
      <c r="Q2" s="118"/>
    </row>
    <row r="4" spans="2:17" s="97" customFormat="1" ht="15" customHeight="1" x14ac:dyDescent="0.3">
      <c r="B4" s="95" t="s">
        <v>76</v>
      </c>
      <c r="C4" s="94"/>
      <c r="D4" s="94"/>
      <c r="E4" s="96"/>
      <c r="G4" s="94" t="s">
        <v>5</v>
      </c>
      <c r="H4" s="92">
        <v>95</v>
      </c>
      <c r="I4" s="94"/>
      <c r="J4" s="94"/>
      <c r="K4" s="95" t="s">
        <v>55</v>
      </c>
      <c r="L4" s="94"/>
      <c r="M4" s="94"/>
      <c r="N4" s="94"/>
      <c r="O4" s="94"/>
      <c r="P4" s="94"/>
      <c r="Q4" s="94"/>
    </row>
    <row r="5" spans="2:17" s="97" customFormat="1" ht="15" customHeight="1" thickBot="1" x14ac:dyDescent="0.35">
      <c r="B5" s="94"/>
      <c r="C5" s="94"/>
      <c r="D5" s="94"/>
      <c r="I5" s="94"/>
      <c r="J5" s="94"/>
      <c r="K5" s="94"/>
      <c r="L5" s="94"/>
      <c r="M5" s="94"/>
      <c r="O5" s="94"/>
      <c r="P5" s="94"/>
      <c r="Q5" s="94"/>
    </row>
    <row r="6" spans="2:17" s="97" customFormat="1" ht="15" customHeight="1" thickBot="1" x14ac:dyDescent="0.35">
      <c r="B6" s="98" t="s">
        <v>0</v>
      </c>
      <c r="C6" s="98" t="s">
        <v>4</v>
      </c>
      <c r="D6" s="98" t="s">
        <v>8</v>
      </c>
      <c r="E6" s="137" t="s">
        <v>73</v>
      </c>
      <c r="F6" s="137"/>
      <c r="G6" s="137" t="s">
        <v>56</v>
      </c>
      <c r="H6" s="137"/>
      <c r="I6" s="94"/>
      <c r="J6" s="94"/>
      <c r="K6" s="99" t="s">
        <v>0</v>
      </c>
      <c r="L6" s="99" t="s">
        <v>57</v>
      </c>
      <c r="M6" s="99" t="s">
        <v>7</v>
      </c>
      <c r="N6" s="91" t="s">
        <v>2</v>
      </c>
      <c r="O6" s="98" t="s">
        <v>21</v>
      </c>
      <c r="P6" s="98" t="s">
        <v>3</v>
      </c>
      <c r="Q6" s="98" t="s">
        <v>6</v>
      </c>
    </row>
    <row r="7" spans="2:17" s="97" customFormat="1" ht="15" customHeight="1" x14ac:dyDescent="0.3">
      <c r="B7" s="100" t="str">
        <f>IF(C7="","",IF(Data!B23="","1",Data!B23))</f>
        <v/>
      </c>
      <c r="C7" s="101" t="str">
        <f>IFERROR(Data!U7,"")</f>
        <v/>
      </c>
      <c r="D7" s="101" t="str">
        <f>IF(C7="","",Data!V7)</f>
        <v/>
      </c>
      <c r="E7" s="102" t="str">
        <f>IFERROR(C7-TINV(1-$H$4/100,Data!W7-1)*O7,"")</f>
        <v/>
      </c>
      <c r="F7" s="102" t="str">
        <f>IFERROR(C7+TINV(1-$H$4/100,Data!W7-1)*O7,"")</f>
        <v/>
      </c>
      <c r="G7" s="103" t="str">
        <f>IFERROR(C7-TINV(1-$H$4/100,$N$31)*(SQRT(2*$O$31/HARMEAN(Data!$W$7:$W$11)))/2,"")</f>
        <v/>
      </c>
      <c r="H7" s="103" t="str">
        <f>IFERROR(C7+TINV(1-$H$4/100,$N$31)*(SQRT(2*$O$31/HARMEAN(Data!$W$7:$W$11)))/2,"")</f>
        <v/>
      </c>
      <c r="I7" s="94"/>
      <c r="J7" s="94"/>
      <c r="K7" s="104" t="str">
        <f t="shared" ref="K7:K11" si="0">B7</f>
        <v/>
      </c>
      <c r="L7" s="74"/>
      <c r="M7" s="101" t="str">
        <f>IFERROR(C7-L7,"")</f>
        <v/>
      </c>
      <c r="N7" s="75" t="str">
        <f>IFERROR(Data!W7-1,"")</f>
        <v/>
      </c>
      <c r="O7" s="101" t="str">
        <f>IFERROR(Data!X7,"")</f>
        <v/>
      </c>
      <c r="P7" s="101" t="str">
        <f>IFERROR(M7/O7,"")</f>
        <v/>
      </c>
      <c r="Q7" s="101" t="str">
        <f>IFERROR(IF(TDIST(ABS(P7),N7,2)&lt;0.001,"&lt;0.001",TDIST(ABS(P7),N7,2)),"")</f>
        <v/>
      </c>
    </row>
    <row r="8" spans="2:17" s="97" customFormat="1" ht="15" customHeight="1" x14ac:dyDescent="0.3">
      <c r="B8" s="104" t="str">
        <f>IF(C8="","",IF(Data!B24="","2",Data!B24))</f>
        <v/>
      </c>
      <c r="C8" s="101" t="str">
        <f>IFERROR(Data!U8,"")</f>
        <v/>
      </c>
      <c r="D8" s="101" t="str">
        <f>IF(C8="","",Data!V8)</f>
        <v/>
      </c>
      <c r="E8" s="101" t="str">
        <f>IFERROR(C8-TINV(1-$H$4/100,Data!W8-1)*O8,"")</f>
        <v/>
      </c>
      <c r="F8" s="101" t="str">
        <f>IFERROR(C8+TINV(1-$H$4/100,Data!W8-1)*O8,"")</f>
        <v/>
      </c>
      <c r="G8" s="101" t="str">
        <f>IFERROR(C8-TINV(1-$H$4/100,$N$31)*(SQRT(2*$O$31/HARMEAN(Data!$W$7:$W$11)))/2,"")</f>
        <v/>
      </c>
      <c r="H8" s="101" t="str">
        <f>IFERROR(C8+TINV(1-$H$4/100,$N$31)*(SQRT(2*$O$31/HARMEAN(Data!$W$7:$W$11)))/2,"")</f>
        <v/>
      </c>
      <c r="I8" s="94"/>
      <c r="J8" s="94"/>
      <c r="K8" s="101" t="str">
        <f t="shared" si="0"/>
        <v/>
      </c>
      <c r="L8" s="74"/>
      <c r="M8" s="101" t="str">
        <f>IFERROR(C8-L8,"")</f>
        <v/>
      </c>
      <c r="N8" s="75" t="str">
        <f>IFERROR(Data!W8-1,"")</f>
        <v/>
      </c>
      <c r="O8" s="101" t="str">
        <f>IFERROR(Data!X8,"")</f>
        <v/>
      </c>
      <c r="P8" s="101" t="str">
        <f>IFERROR(M8/O8,"")</f>
        <v/>
      </c>
      <c r="Q8" s="101" t="str">
        <f>IFERROR(IF(TDIST(ABS(P8),N8,2)&lt;0.001,"&lt;0.001",TDIST(ABS(P8),N8,2)),"")</f>
        <v/>
      </c>
    </row>
    <row r="9" spans="2:17" s="97" customFormat="1" ht="15" customHeight="1" x14ac:dyDescent="0.3">
      <c r="B9" s="104" t="str">
        <f>IF(C9="","",IF(Data!B25="","3",Data!B25))</f>
        <v/>
      </c>
      <c r="C9" s="101" t="str">
        <f>IFERROR(Data!U9,"")</f>
        <v/>
      </c>
      <c r="D9" s="101" t="str">
        <f>IF(C9="","",Data!V9)</f>
        <v/>
      </c>
      <c r="E9" s="101" t="str">
        <f>IFERROR(C9-TINV(1-$H$4/100,Data!W9-1)*O9,"")</f>
        <v/>
      </c>
      <c r="F9" s="101" t="str">
        <f>IFERROR(C9+TINV(1-$H$4/100,Data!W9-1)*O9,"")</f>
        <v/>
      </c>
      <c r="G9" s="101" t="str">
        <f>IFERROR(C9-TINV(1-$H$4/100,$N$31)*(SQRT(2*$O$31/HARMEAN(Data!$W$7:$W$11)))/2,"")</f>
        <v/>
      </c>
      <c r="H9" s="101" t="str">
        <f>IFERROR(C9+TINV(1-$H$4/100,$N$31)*(SQRT(2*$O$31/HARMEAN(Data!$W$7:$W$11)))/2,"")</f>
        <v/>
      </c>
      <c r="I9" s="94"/>
      <c r="J9" s="94"/>
      <c r="K9" s="101" t="str">
        <f t="shared" si="0"/>
        <v/>
      </c>
      <c r="L9" s="74"/>
      <c r="M9" s="101" t="str">
        <f>IFERROR(C9-L9,"")</f>
        <v/>
      </c>
      <c r="N9" s="75" t="str">
        <f>IFERROR(Data!W9-1,"")</f>
        <v/>
      </c>
      <c r="O9" s="101" t="str">
        <f>IFERROR(Data!X9,"")</f>
        <v/>
      </c>
      <c r="P9" s="101" t="str">
        <f>IFERROR(M9/O9,"")</f>
        <v/>
      </c>
      <c r="Q9" s="101" t="str">
        <f>IFERROR(IF(TDIST(ABS(P9),N9,2)&lt;0.001,"&lt;0.001",TDIST(ABS(P9),N9,2)),"")</f>
        <v/>
      </c>
    </row>
    <row r="10" spans="2:17" s="97" customFormat="1" ht="15" customHeight="1" x14ac:dyDescent="0.3">
      <c r="B10" s="104" t="str">
        <f>IF(C10="","",IF(Data!B26="","4",Data!B26))</f>
        <v/>
      </c>
      <c r="C10" s="101" t="str">
        <f>IFERROR(Data!U10,"")</f>
        <v/>
      </c>
      <c r="D10" s="101" t="str">
        <f>IF(C10="","",Data!V10)</f>
        <v/>
      </c>
      <c r="E10" s="101" t="str">
        <f>IFERROR(C10-TINV(1-$H$4/100,Data!W10-1)*O10,"")</f>
        <v/>
      </c>
      <c r="F10" s="101" t="str">
        <f>IFERROR(C10+TINV(1-$H$4/100,Data!W10-1)*O10,"")</f>
        <v/>
      </c>
      <c r="G10" s="101" t="str">
        <f>IFERROR(C10-TINV(1-$H$4/100,$N$31)*(SQRT(2*$O$31/HARMEAN(Data!$W$7:$W$11)))/2,"")</f>
        <v/>
      </c>
      <c r="H10" s="101" t="str">
        <f>IFERROR(C10+TINV(1-$H$4/100,$N$31)*(SQRT(2*$O$31/HARMEAN(Data!$W$7:$W$11)))/2,"")</f>
        <v/>
      </c>
      <c r="I10" s="94"/>
      <c r="J10" s="94"/>
      <c r="K10" s="101" t="str">
        <f t="shared" si="0"/>
        <v/>
      </c>
      <c r="L10" s="74"/>
      <c r="M10" s="101" t="str">
        <f>IFERROR(C10-L10,"")</f>
        <v/>
      </c>
      <c r="N10" s="75" t="str">
        <f>IFERROR(Data!W10-1,"")</f>
        <v/>
      </c>
      <c r="O10" s="101" t="str">
        <f>IFERROR(Data!X10,"")</f>
        <v/>
      </c>
      <c r="P10" s="101" t="str">
        <f>IFERROR(M10/O10,"")</f>
        <v/>
      </c>
      <c r="Q10" s="101" t="str">
        <f>IFERROR(IF(TDIST(ABS(P10),N10,2)&lt;0.001,"&lt;0.001",TDIST(ABS(P10),N10,2)),"")</f>
        <v/>
      </c>
    </row>
    <row r="11" spans="2:17" s="97" customFormat="1" ht="15" customHeight="1" thickBot="1" x14ac:dyDescent="0.35">
      <c r="B11" s="115" t="str">
        <f>IF(C11="","",IF(Data!B27="","5",Data!B27))</f>
        <v/>
      </c>
      <c r="C11" s="105" t="str">
        <f>IFERROR(Data!U11,"")</f>
        <v/>
      </c>
      <c r="D11" s="105" t="str">
        <f>IF(C11="","",Data!V11)</f>
        <v/>
      </c>
      <c r="E11" s="105" t="str">
        <f>IFERROR(C11-TINV(1-$H$4/100,Data!W11-1)*O11,"")</f>
        <v/>
      </c>
      <c r="F11" s="105" t="str">
        <f>IFERROR(C11+TINV(1-$H$4/100,Data!W11-1)*O11,"")</f>
        <v/>
      </c>
      <c r="G11" s="105" t="str">
        <f>IFERROR(C11-TINV(1-$H$4/100,$N$31)*(SQRT(2*$O$31/HARMEAN(Data!$W$7:$W$11)))/2,"")</f>
        <v/>
      </c>
      <c r="H11" s="105" t="str">
        <f>IFERROR(C11+TINV(1-$H$4/100,$N$31)*(SQRT(2*$O$31/HARMEAN(Data!$W$7:$W$11)))/2,"")</f>
        <v/>
      </c>
      <c r="I11" s="94"/>
      <c r="J11" s="94"/>
      <c r="K11" s="105" t="str">
        <f t="shared" si="0"/>
        <v/>
      </c>
      <c r="L11" s="76"/>
      <c r="M11" s="105" t="str">
        <f>IFERROR(C11-L11,"")</f>
        <v/>
      </c>
      <c r="N11" s="34" t="str">
        <f>IFERROR(Data!W11-1,"")</f>
        <v/>
      </c>
      <c r="O11" s="105" t="str">
        <f>IFERROR(Data!X11,"")</f>
        <v/>
      </c>
      <c r="P11" s="105" t="str">
        <f>IFERROR(M11/O11,"")</f>
        <v/>
      </c>
      <c r="Q11" s="105" t="str">
        <f>IFERROR(IF(TDIST(ABS(P11),N11,2)&lt;0.001,"&lt;0.001",TDIST(ABS(P11),N11,2)),"")</f>
        <v/>
      </c>
    </row>
    <row r="12" spans="2:17" s="97" customFormat="1" ht="15" customHeight="1" x14ac:dyDescent="0.3"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20"/>
      <c r="O12" s="94"/>
      <c r="P12" s="94"/>
      <c r="Q12" s="94"/>
    </row>
    <row r="13" spans="2:17" s="97" customFormat="1" ht="15" customHeight="1" x14ac:dyDescent="0.3">
      <c r="B13" s="95" t="s">
        <v>77</v>
      </c>
      <c r="C13" s="94"/>
      <c r="D13" s="94"/>
      <c r="E13" s="94"/>
      <c r="F13" s="94"/>
      <c r="G13" s="94"/>
      <c r="H13" s="94"/>
      <c r="I13" s="94"/>
      <c r="J13" s="94"/>
      <c r="K13" s="2" t="s">
        <v>58</v>
      </c>
      <c r="L13"/>
      <c r="M13"/>
      <c r="N13"/>
      <c r="O13"/>
      <c r="P13"/>
      <c r="Q13"/>
    </row>
    <row r="14" spans="2:17" s="97" customFormat="1" ht="15" customHeight="1" thickBot="1" x14ac:dyDescent="0.35">
      <c r="B14" s="94"/>
      <c r="C14" s="94"/>
      <c r="D14" s="94"/>
      <c r="E14" s="94"/>
      <c r="F14" s="94"/>
      <c r="G14" s="94"/>
      <c r="H14" s="94"/>
      <c r="I14" s="94"/>
      <c r="J14" s="94"/>
      <c r="K14"/>
      <c r="L14"/>
      <c r="M14"/>
      <c r="N14"/>
      <c r="O14"/>
      <c r="P14"/>
      <c r="Q14"/>
    </row>
    <row r="15" spans="2:17" s="97" customFormat="1" ht="15" customHeight="1" thickBot="1" x14ac:dyDescent="0.35">
      <c r="C15" s="11" t="s">
        <v>17</v>
      </c>
      <c r="E15" s="12" t="s">
        <v>59</v>
      </c>
      <c r="F15" s="12"/>
      <c r="G15" s="11" t="s">
        <v>23</v>
      </c>
      <c r="H15" s="12"/>
      <c r="I15" s="94"/>
      <c r="J15" s="94"/>
      <c r="K15" s="91" t="s">
        <v>60</v>
      </c>
      <c r="L15" s="19" t="s">
        <v>57</v>
      </c>
      <c r="M15" s="19" t="s">
        <v>7</v>
      </c>
      <c r="N15" s="91" t="s">
        <v>2</v>
      </c>
      <c r="O15" s="19" t="s">
        <v>21</v>
      </c>
      <c r="P15" s="22" t="s">
        <v>3</v>
      </c>
      <c r="Q15" s="22" t="s">
        <v>6</v>
      </c>
    </row>
    <row r="16" spans="2:17" s="97" customFormat="1" ht="15" customHeight="1" x14ac:dyDescent="0.3">
      <c r="B16" s="10" t="s">
        <v>0</v>
      </c>
      <c r="C16" s="10" t="s">
        <v>18</v>
      </c>
      <c r="D16" s="10" t="s">
        <v>19</v>
      </c>
      <c r="E16" s="28" t="s">
        <v>18</v>
      </c>
      <c r="F16" s="12" t="s">
        <v>19</v>
      </c>
      <c r="G16" s="10" t="s">
        <v>20</v>
      </c>
      <c r="H16" s="10" t="s">
        <v>18</v>
      </c>
      <c r="I16" s="94"/>
      <c r="J16" s="94"/>
      <c r="K16" s="87" t="str">
        <f>IF(M16="","","1 vs. 2")</f>
        <v/>
      </c>
      <c r="L16" s="77"/>
      <c r="M16" s="35" t="str">
        <f>IFERROR(C7-C8-L16,"")</f>
        <v/>
      </c>
      <c r="N16" s="36" t="str">
        <f>IFERROR(Data!W7+Data!W8-2,"")</f>
        <v/>
      </c>
      <c r="O16" s="35" t="str">
        <f>IF(M16="","",SQRT(2*$O$31/AVERAGE(Data!$W$7:$W$11)))</f>
        <v/>
      </c>
      <c r="P16" s="78" t="str">
        <f t="shared" ref="P16:P25" si="1">IFERROR(M16/O16,"")</f>
        <v/>
      </c>
      <c r="Q16" s="102" t="str">
        <f t="shared" ref="Q16:Q25" si="2">IFERROR(IF(TDIST(ABS(P16),N16,2)&lt;0.001,"&lt;0.001",TDIST(ABS(P16),N16,2)),"")</f>
        <v/>
      </c>
    </row>
    <row r="17" spans="1:17" s="97" customFormat="1" ht="15" customHeight="1" x14ac:dyDescent="0.3">
      <c r="B17" s="4">
        <v>1.1499999999999999</v>
      </c>
      <c r="C17" s="4" t="e">
        <f>IF(F7="",NA(),F7)</f>
        <v>#N/A</v>
      </c>
      <c r="D17" s="4"/>
      <c r="E17" s="4" t="e">
        <f>IF(H7="",NA(),H7)</f>
        <v>#N/A</v>
      </c>
      <c r="F17" s="12"/>
      <c r="G17" s="3">
        <v>0.5</v>
      </c>
      <c r="H17" s="3">
        <f>L7</f>
        <v>0</v>
      </c>
      <c r="I17" s="94"/>
      <c r="J17" s="94"/>
      <c r="K17" s="88" t="str">
        <f>IF(M17="","","1 vs. 3")</f>
        <v/>
      </c>
      <c r="L17" s="79"/>
      <c r="M17" s="5" t="str">
        <f>IFERROR(C7-C9-L17,"")</f>
        <v/>
      </c>
      <c r="N17" s="75" t="str">
        <f>IFERROR(Data!W7+Data!W9-2,"")</f>
        <v/>
      </c>
      <c r="O17" s="5" t="str">
        <f>IF(M17="","",SQRT(2*$O$31/AVERAGE(Data!$W$7:$W$11)))</f>
        <v/>
      </c>
      <c r="P17" s="80" t="str">
        <f t="shared" si="1"/>
        <v/>
      </c>
      <c r="Q17" s="101" t="str">
        <f t="shared" si="2"/>
        <v/>
      </c>
    </row>
    <row r="18" spans="1:17" s="97" customFormat="1" ht="15" customHeight="1" x14ac:dyDescent="0.3">
      <c r="B18" s="4">
        <v>1.1499999999999999</v>
      </c>
      <c r="C18" s="3" t="e">
        <f>IF(C7="",NA(),C7)</f>
        <v>#N/A</v>
      </c>
      <c r="D18" s="4"/>
      <c r="E18" s="3" t="e">
        <f>IF(C7="",NA(),C7)</f>
        <v>#N/A</v>
      </c>
      <c r="F18" s="12"/>
      <c r="G18" s="3">
        <v>1</v>
      </c>
      <c r="H18" s="3">
        <f>L7</f>
        <v>0</v>
      </c>
      <c r="I18" s="94"/>
      <c r="J18" s="94"/>
      <c r="K18" s="88" t="str">
        <f>IF(M18="","","1 vs. 4")</f>
        <v/>
      </c>
      <c r="L18" s="79"/>
      <c r="M18" s="5" t="str">
        <f>IFERROR(C7-C10-L18,"")</f>
        <v/>
      </c>
      <c r="N18" s="75" t="str">
        <f>IFERROR(Data!W7+Data!W10-2,"")</f>
        <v/>
      </c>
      <c r="O18" s="5" t="str">
        <f>IF(M18="","",SQRT(2*$O$31/AVERAGE(Data!$W$7:$W$11)))</f>
        <v/>
      </c>
      <c r="P18" s="80" t="str">
        <f t="shared" si="1"/>
        <v/>
      </c>
      <c r="Q18" s="101" t="str">
        <f t="shared" si="2"/>
        <v/>
      </c>
    </row>
    <row r="19" spans="1:17" ht="15" customHeight="1" x14ac:dyDescent="0.3">
      <c r="B19" s="4">
        <v>1.1499999999999999</v>
      </c>
      <c r="C19" s="4" t="e">
        <f>IF(E7="",NA(),E7)</f>
        <v>#N/A</v>
      </c>
      <c r="D19" s="4"/>
      <c r="E19" s="4" t="e">
        <f>IF(G7="",NA(),G7)</f>
        <v>#N/A</v>
      </c>
      <c r="F19" s="12"/>
      <c r="G19" s="3">
        <v>1.5</v>
      </c>
      <c r="H19" s="3">
        <f>L7</f>
        <v>0</v>
      </c>
      <c r="K19" s="88" t="str">
        <f>IF(M19="","","1 vs. 5")</f>
        <v/>
      </c>
      <c r="L19" s="79"/>
      <c r="M19" s="5" t="str">
        <f>IFERROR(C7-C11-L19,"")</f>
        <v/>
      </c>
      <c r="N19" s="75" t="str">
        <f>IFERROR(Data!W7+Data!W11-2,"")</f>
        <v/>
      </c>
      <c r="O19" s="5" t="str">
        <f>IF(M19="","",SQRT(2*$O$31/AVERAGE(Data!$W$7:$W$11)))</f>
        <v/>
      </c>
      <c r="P19" s="80" t="str">
        <f t="shared" si="1"/>
        <v/>
      </c>
      <c r="Q19" s="101" t="str">
        <f t="shared" si="2"/>
        <v/>
      </c>
    </row>
    <row r="20" spans="1:17" ht="15" customHeight="1" x14ac:dyDescent="0.3">
      <c r="B20" s="4">
        <v>2.15</v>
      </c>
      <c r="C20" s="4" t="e">
        <f>IF(F8="",NA(),F8)</f>
        <v>#N/A</v>
      </c>
      <c r="D20" s="4"/>
      <c r="E20" s="4" t="e">
        <f>IF(H8="",NA(),H8)</f>
        <v>#N/A</v>
      </c>
      <c r="F20" s="12"/>
      <c r="G20" s="3">
        <v>1.5</v>
      </c>
      <c r="H20" s="3">
        <f>L8</f>
        <v>0</v>
      </c>
      <c r="K20" s="88" t="str">
        <f>IF(M20="","","2 vs. 3")</f>
        <v/>
      </c>
      <c r="L20" s="79"/>
      <c r="M20" s="5" t="str">
        <f>IFERROR(C8-C9-L20,"")</f>
        <v/>
      </c>
      <c r="N20" s="75" t="str">
        <f>IFERROR(Data!W8+Data!W9-2,"")</f>
        <v/>
      </c>
      <c r="O20" s="5" t="str">
        <f>IF(M20="","",SQRT(2*$O$31/AVERAGE(Data!$W$7:$W$11)))</f>
        <v/>
      </c>
      <c r="P20" s="80" t="str">
        <f t="shared" si="1"/>
        <v/>
      </c>
      <c r="Q20" s="101" t="str">
        <f t="shared" si="2"/>
        <v/>
      </c>
    </row>
    <row r="21" spans="1:17" ht="15" customHeight="1" x14ac:dyDescent="0.3">
      <c r="B21" s="4">
        <v>2.15</v>
      </c>
      <c r="C21" s="3" t="e">
        <f>IF(C8="",NA(),C8)</f>
        <v>#N/A</v>
      </c>
      <c r="D21" s="4"/>
      <c r="E21" s="3" t="e">
        <f>IF(C8="",NA(),C8)</f>
        <v>#N/A</v>
      </c>
      <c r="F21" s="12"/>
      <c r="G21" s="3">
        <v>2</v>
      </c>
      <c r="H21" s="3">
        <f>L8</f>
        <v>0</v>
      </c>
      <c r="K21" s="88" t="str">
        <f>IF(M21="","","2 vs. 4")</f>
        <v/>
      </c>
      <c r="L21" s="79"/>
      <c r="M21" s="5" t="str">
        <f>IFERROR(C8-C10-L21,"")</f>
        <v/>
      </c>
      <c r="N21" s="75" t="str">
        <f>IFERROR(Data!W8+Data!W10-2,"")</f>
        <v/>
      </c>
      <c r="O21" s="5" t="str">
        <f>IF(M21="","",SQRT(2*$O$31/AVERAGE(Data!$W$7:$W$11)))</f>
        <v/>
      </c>
      <c r="P21" s="80" t="str">
        <f t="shared" si="1"/>
        <v/>
      </c>
      <c r="Q21" s="101" t="str">
        <f t="shared" si="2"/>
        <v/>
      </c>
    </row>
    <row r="22" spans="1:17" ht="15" customHeight="1" x14ac:dyDescent="0.3">
      <c r="B22" s="4">
        <v>2.15</v>
      </c>
      <c r="C22" s="4" t="e">
        <f>IF(E8="",NA(),E8)</f>
        <v>#N/A</v>
      </c>
      <c r="D22" s="4"/>
      <c r="E22" s="4" t="e">
        <f>IF(G8="",NA(),G8)</f>
        <v>#N/A</v>
      </c>
      <c r="F22" s="12"/>
      <c r="G22" s="3">
        <v>2.5</v>
      </c>
      <c r="H22" s="3">
        <f>L8</f>
        <v>0</v>
      </c>
      <c r="K22" s="88" t="str">
        <f>IF(M22="","","2 vs. 5")</f>
        <v/>
      </c>
      <c r="L22" s="79"/>
      <c r="M22" s="5" t="str">
        <f>IFERROR(C8-C11-L22,"")</f>
        <v/>
      </c>
      <c r="N22" s="75" t="str">
        <f>IFERROR(Data!W8+Data!W11-2,"")</f>
        <v/>
      </c>
      <c r="O22" s="5" t="str">
        <f>IF(M22="","",SQRT(2*$O$31/AVERAGE(Data!$W$7:$W$11)))</f>
        <v/>
      </c>
      <c r="P22" s="80" t="str">
        <f t="shared" si="1"/>
        <v/>
      </c>
      <c r="Q22" s="101" t="str">
        <f t="shared" si="2"/>
        <v/>
      </c>
    </row>
    <row r="23" spans="1:17" ht="15" customHeight="1" x14ac:dyDescent="0.3">
      <c r="B23" s="4">
        <v>3.15</v>
      </c>
      <c r="C23" s="4" t="e">
        <f>IF(F9="",NA(),F9)</f>
        <v>#N/A</v>
      </c>
      <c r="D23" s="4"/>
      <c r="E23" s="4" t="e">
        <f>IF(H9="",NA(),H9)</f>
        <v>#N/A</v>
      </c>
      <c r="F23" s="12"/>
      <c r="G23" s="3">
        <v>2.5</v>
      </c>
      <c r="H23" s="3">
        <f>L9</f>
        <v>0</v>
      </c>
      <c r="K23" s="88" t="str">
        <f>IF(M23="","","3 vs. 4")</f>
        <v/>
      </c>
      <c r="L23" s="79"/>
      <c r="M23" s="5" t="str">
        <f>IFERROR(C9-C10-L23,"")</f>
        <v/>
      </c>
      <c r="N23" s="75" t="str">
        <f>IFERROR(Data!W9+Data!W10-2,"")</f>
        <v/>
      </c>
      <c r="O23" s="5" t="str">
        <f>IF(M23="","",SQRT(2*$O$31/AVERAGE(Data!$W$7:$W$11)))</f>
        <v/>
      </c>
      <c r="P23" s="80" t="str">
        <f t="shared" si="1"/>
        <v/>
      </c>
      <c r="Q23" s="101" t="str">
        <f t="shared" si="2"/>
        <v/>
      </c>
    </row>
    <row r="24" spans="1:17" ht="15" customHeight="1" x14ac:dyDescent="0.3">
      <c r="B24" s="4">
        <v>3.15</v>
      </c>
      <c r="C24" s="3" t="e">
        <f>IF(C9="",NA(),C9)</f>
        <v>#N/A</v>
      </c>
      <c r="D24" s="4"/>
      <c r="E24" s="3" t="e">
        <f>IF(C9="",NA(),C9)</f>
        <v>#N/A</v>
      </c>
      <c r="F24" s="12"/>
      <c r="G24" s="3">
        <v>3</v>
      </c>
      <c r="H24" s="3">
        <f>L9</f>
        <v>0</v>
      </c>
      <c r="K24" s="88" t="str">
        <f>IF(M24="","","3 vs. 5")</f>
        <v/>
      </c>
      <c r="L24" s="79"/>
      <c r="M24" s="5" t="str">
        <f>IFERROR(C9-C11-L24,"")</f>
        <v/>
      </c>
      <c r="N24" s="75" t="str">
        <f>IFERROR(Data!W9+Data!W11-2,"")</f>
        <v/>
      </c>
      <c r="O24" s="5" t="str">
        <f>IF(M24="","",SQRT(2*$O$31/AVERAGE(Data!$W$7:$W$11)))</f>
        <v/>
      </c>
      <c r="P24" s="80" t="str">
        <f t="shared" si="1"/>
        <v/>
      </c>
      <c r="Q24" s="101" t="str">
        <f t="shared" si="2"/>
        <v/>
      </c>
    </row>
    <row r="25" spans="1:17" ht="15" customHeight="1" thickBot="1" x14ac:dyDescent="0.35">
      <c r="B25" s="4">
        <v>3.15</v>
      </c>
      <c r="C25" s="4" t="e">
        <f>IF(E9="",NA(),E9)</f>
        <v>#N/A</v>
      </c>
      <c r="D25" s="4"/>
      <c r="E25" s="4" t="e">
        <f>IF(G9="",NA(),G9)</f>
        <v>#N/A</v>
      </c>
      <c r="F25" s="12"/>
      <c r="G25" s="3">
        <v>3.5</v>
      </c>
      <c r="H25" s="3">
        <f>L9</f>
        <v>0</v>
      </c>
      <c r="K25" s="88" t="str">
        <f>IF(M25="","","4 vs. 5")</f>
        <v/>
      </c>
      <c r="L25" s="81"/>
      <c r="M25" s="5" t="str">
        <f>IFERROR(C10-C11-L25,"")</f>
        <v/>
      </c>
      <c r="N25" s="34" t="str">
        <f>IFERROR(Data!W10+Data!W11-2,"")</f>
        <v/>
      </c>
      <c r="O25" s="33" t="str">
        <f>IF(M25="","",SQRT(2*$O$31/AVERAGE(Data!$W$7:$W$11)))</f>
        <v/>
      </c>
      <c r="P25" s="82" t="str">
        <f t="shared" si="1"/>
        <v/>
      </c>
      <c r="Q25" s="105" t="str">
        <f t="shared" si="2"/>
        <v/>
      </c>
    </row>
    <row r="26" spans="1:17" ht="15" customHeight="1" x14ac:dyDescent="0.3">
      <c r="B26" s="4">
        <v>4.1500000000000004</v>
      </c>
      <c r="C26" s="4" t="e">
        <f>IF(F10="",NA(),F10)</f>
        <v>#N/A</v>
      </c>
      <c r="D26" s="4"/>
      <c r="E26" s="4" t="e">
        <f>IF(H10="",NA(),H10)</f>
        <v>#N/A</v>
      </c>
      <c r="F26" s="12"/>
      <c r="G26" s="3">
        <v>3.5</v>
      </c>
      <c r="H26" s="3">
        <f>L10</f>
        <v>0</v>
      </c>
      <c r="K26" s="20"/>
      <c r="L26" s="20"/>
      <c r="M26" s="20"/>
      <c r="N26" s="20"/>
      <c r="O26" s="20"/>
      <c r="P26" s="20"/>
      <c r="Q26" s="20"/>
    </row>
    <row r="27" spans="1:17" ht="15" customHeight="1" x14ac:dyDescent="0.3">
      <c r="B27" s="3">
        <v>4.1500000000000004</v>
      </c>
      <c r="C27" s="3" t="e">
        <f>IF(C10="",NA(),C10)</f>
        <v>#N/A</v>
      </c>
      <c r="D27" s="4"/>
      <c r="E27" s="3" t="e">
        <f>IF(C10="",NA(),C10)</f>
        <v>#N/A</v>
      </c>
      <c r="F27" s="12"/>
      <c r="G27" s="3">
        <v>4</v>
      </c>
      <c r="H27" s="3">
        <f>L10</f>
        <v>0</v>
      </c>
      <c r="K27" s="95" t="s">
        <v>61</v>
      </c>
    </row>
    <row r="28" spans="1:17" ht="15" customHeight="1" thickBot="1" x14ac:dyDescent="0.35">
      <c r="B28" s="3">
        <v>4.1500000000000004</v>
      </c>
      <c r="C28" s="4" t="e">
        <f>IF(E10="",NA(),E10)</f>
        <v>#N/A</v>
      </c>
      <c r="D28" s="4"/>
      <c r="E28" s="4" t="e">
        <f>IF(G10="",NA(),G10)</f>
        <v>#N/A</v>
      </c>
      <c r="F28" s="12"/>
      <c r="G28" s="3">
        <v>4.5</v>
      </c>
      <c r="H28" s="3">
        <f>L10</f>
        <v>0</v>
      </c>
    </row>
    <row r="29" spans="1:17" ht="15" customHeight="1" thickBot="1" x14ac:dyDescent="0.35">
      <c r="B29" s="3">
        <v>5.15</v>
      </c>
      <c r="C29" s="4" t="e">
        <f>IF(F11="",NA(),F11)</f>
        <v>#N/A</v>
      </c>
      <c r="D29" s="106"/>
      <c r="E29" s="4" t="e">
        <f>IF(H11="",NA(),H11)</f>
        <v>#N/A</v>
      </c>
      <c r="G29" s="106">
        <v>4.5</v>
      </c>
      <c r="H29" s="106">
        <f>L11</f>
        <v>0</v>
      </c>
      <c r="K29" s="107" t="str">
        <f>Data!T25</f>
        <v>Source</v>
      </c>
      <c r="L29" s="108"/>
      <c r="M29" s="108" t="str">
        <f>Data!U25</f>
        <v>SS</v>
      </c>
      <c r="N29" s="108" t="str">
        <f>Data!V25</f>
        <v>df</v>
      </c>
      <c r="O29" s="108" t="str">
        <f>Data!W25</f>
        <v>MS</v>
      </c>
      <c r="P29" s="108" t="str">
        <f>Data!X25</f>
        <v>F</v>
      </c>
      <c r="Q29" s="108" t="str">
        <f>Data!Y25</f>
        <v>p</v>
      </c>
    </row>
    <row r="30" spans="1:17" ht="15" customHeight="1" x14ac:dyDescent="0.3">
      <c r="B30" s="3">
        <v>5.15</v>
      </c>
      <c r="C30" s="3" t="e">
        <f>IF(C11="",NA(),C11)</f>
        <v>#N/A</v>
      </c>
      <c r="D30" s="106"/>
      <c r="E30" s="3" t="e">
        <f>IF(C11="",NA(),C11)</f>
        <v>#N/A</v>
      </c>
      <c r="G30" s="106">
        <v>5</v>
      </c>
      <c r="H30" s="106">
        <f>L11</f>
        <v>0</v>
      </c>
      <c r="K30" s="109" t="s">
        <v>74</v>
      </c>
      <c r="L30" s="78"/>
      <c r="M30" s="78" t="str">
        <f>IF(Data!U26&gt;0,Data!U26,"")</f>
        <v/>
      </c>
      <c r="N30" s="110" t="str">
        <f>IF(Data!V26&gt;0,Data!V26,"")</f>
        <v/>
      </c>
      <c r="O30" s="78" t="str">
        <f>Data!W26</f>
        <v/>
      </c>
      <c r="P30" s="78" t="str">
        <f>Data!X26</f>
        <v/>
      </c>
      <c r="Q30" s="78" t="str">
        <f>Data!Y26</f>
        <v/>
      </c>
    </row>
    <row r="31" spans="1:17" ht="15" customHeight="1" x14ac:dyDescent="0.3">
      <c r="A31"/>
      <c r="B31" s="3">
        <v>5.15</v>
      </c>
      <c r="C31" s="4" t="e">
        <f>IF(E11="",NA(),E11)</f>
        <v>#N/A</v>
      </c>
      <c r="D31" s="106"/>
      <c r="E31" s="4" t="e">
        <f>IF(G11="",NA(),G11)</f>
        <v>#N/A</v>
      </c>
      <c r="G31" s="106">
        <v>5.5</v>
      </c>
      <c r="H31" s="106">
        <f>L11</f>
        <v>0</v>
      </c>
      <c r="K31" s="111" t="s">
        <v>75</v>
      </c>
      <c r="L31" s="80"/>
      <c r="M31" s="80" t="str">
        <f>IF(Data!U27&gt;0,Data!U27,"")</f>
        <v/>
      </c>
      <c r="N31" s="112" t="str">
        <f>IF(Data!V27&gt;0,Data!V27,"")</f>
        <v/>
      </c>
      <c r="O31" s="101" t="str">
        <f>Data!W27</f>
        <v/>
      </c>
      <c r="P31" s="101"/>
      <c r="Q31" s="80"/>
    </row>
    <row r="32" spans="1:17" ht="15" customHeight="1" thickBot="1" x14ac:dyDescent="0.35">
      <c r="A32"/>
      <c r="B32" s="4"/>
      <c r="C32" s="3"/>
      <c r="K32" s="113" t="str">
        <f>Data!T28</f>
        <v>Total</v>
      </c>
      <c r="L32" s="82"/>
      <c r="M32" s="82" t="str">
        <f>Data!U28</f>
        <v/>
      </c>
      <c r="N32" s="114" t="str">
        <f>IF(Data!V28&gt;0,Data!V28,"")</f>
        <v/>
      </c>
      <c r="O32" s="82" t="str">
        <f>Data!W28</f>
        <v/>
      </c>
      <c r="P32" s="82"/>
      <c r="Q32" s="82"/>
    </row>
    <row r="33" spans="1:8" ht="15" customHeight="1" x14ac:dyDescent="0.3">
      <c r="A33"/>
    </row>
    <row r="36" spans="1:8" ht="15" customHeight="1" x14ac:dyDescent="0.3">
      <c r="B36" s="23"/>
      <c r="C36" s="1"/>
      <c r="D36" s="1"/>
      <c r="E36" s="1"/>
      <c r="F36" s="1"/>
      <c r="G36" s="1"/>
      <c r="H36" s="1"/>
    </row>
    <row r="37" spans="1:8" ht="15" customHeight="1" x14ac:dyDescent="0.3">
      <c r="B37" s="27"/>
      <c r="C37" s="27"/>
      <c r="D37" s="27"/>
      <c r="E37" s="27"/>
      <c r="F37" s="27"/>
      <c r="G37" s="27"/>
      <c r="H37" s="27"/>
    </row>
    <row r="38" spans="1:8" ht="15" customHeight="1" x14ac:dyDescent="0.3">
      <c r="B38" s="11"/>
      <c r="C38" s="12"/>
      <c r="D38" s="12"/>
      <c r="E38" s="12"/>
      <c r="F38" s="12"/>
      <c r="G38" s="11"/>
      <c r="H38" s="12"/>
    </row>
    <row r="39" spans="1:8" ht="15" customHeight="1" x14ac:dyDescent="0.3">
      <c r="B39" s="3"/>
      <c r="C39" s="3"/>
      <c r="D39" s="3"/>
      <c r="E39" s="28"/>
      <c r="F39" s="12"/>
      <c r="G39" s="10"/>
      <c r="H39" s="10"/>
    </row>
    <row r="40" spans="1:8" ht="15" customHeight="1" x14ac:dyDescent="0.3">
      <c r="B40" s="4"/>
      <c r="C40" s="4"/>
      <c r="D40" s="4"/>
      <c r="E40" s="12"/>
      <c r="F40" s="12"/>
      <c r="G40" s="3"/>
      <c r="H40" s="3"/>
    </row>
    <row r="41" spans="1:8" ht="15" customHeight="1" x14ac:dyDescent="0.3">
      <c r="B41" s="4"/>
      <c r="C41" s="3"/>
      <c r="D41" s="4"/>
      <c r="E41" s="12"/>
      <c r="F41" s="12"/>
      <c r="G41" s="3"/>
      <c r="H41" s="3"/>
    </row>
    <row r="42" spans="1:8" ht="15" customHeight="1" x14ac:dyDescent="0.3">
      <c r="B42" s="4"/>
      <c r="C42" s="4"/>
      <c r="D42" s="4"/>
      <c r="E42" s="12"/>
      <c r="F42" s="12"/>
      <c r="G42" s="3"/>
      <c r="H42" s="3"/>
    </row>
    <row r="43" spans="1:8" ht="15" customHeight="1" x14ac:dyDescent="0.3">
      <c r="B43" s="4"/>
      <c r="C43" s="4"/>
      <c r="D43" s="4"/>
      <c r="E43" s="12"/>
      <c r="F43" s="12"/>
      <c r="G43" s="3"/>
      <c r="H43" s="3"/>
    </row>
    <row r="44" spans="1:8" ht="15" customHeight="1" x14ac:dyDescent="0.3">
      <c r="B44" s="4"/>
      <c r="C44" s="3"/>
      <c r="D44" s="4"/>
      <c r="E44" s="4"/>
      <c r="F44" s="12"/>
      <c r="G44" s="3"/>
      <c r="H44" s="3"/>
    </row>
    <row r="45" spans="1:8" ht="15" customHeight="1" x14ac:dyDescent="0.3">
      <c r="B45" s="4"/>
      <c r="C45" s="4"/>
      <c r="D45" s="4"/>
      <c r="E45" s="4"/>
      <c r="F45" s="12"/>
      <c r="G45" s="3"/>
      <c r="H45" s="3"/>
    </row>
    <row r="46" spans="1:8" ht="15" customHeight="1" x14ac:dyDescent="0.3">
      <c r="B46" s="4"/>
      <c r="C46" s="4"/>
      <c r="D46" s="4"/>
      <c r="E46" s="4"/>
      <c r="F46" s="12"/>
      <c r="G46" s="3"/>
      <c r="H46" s="3"/>
    </row>
    <row r="47" spans="1:8" ht="15" customHeight="1" x14ac:dyDescent="0.3">
      <c r="B47" s="4"/>
      <c r="C47" s="3"/>
      <c r="D47" s="4"/>
      <c r="E47" s="4"/>
      <c r="F47" s="12"/>
      <c r="G47" s="3"/>
      <c r="H47" s="3"/>
    </row>
    <row r="48" spans="1:8" ht="15" customHeight="1" x14ac:dyDescent="0.3">
      <c r="B48" s="4"/>
      <c r="C48" s="4"/>
      <c r="D48" s="4"/>
      <c r="E48" s="4"/>
      <c r="F48" s="12"/>
      <c r="G48" s="3"/>
      <c r="H48" s="3"/>
    </row>
    <row r="49" spans="2:8" ht="15" customHeight="1" x14ac:dyDescent="0.3">
      <c r="B49" s="4"/>
      <c r="C49" s="4"/>
      <c r="D49" s="4"/>
      <c r="E49" s="4"/>
      <c r="F49" s="12"/>
      <c r="G49" s="3"/>
      <c r="H49" s="3"/>
    </row>
    <row r="50" spans="2:8" ht="15" customHeight="1" x14ac:dyDescent="0.3">
      <c r="B50" s="3"/>
      <c r="C50" s="3"/>
      <c r="D50" s="4"/>
      <c r="E50" s="4"/>
      <c r="F50" s="12"/>
      <c r="G50" s="3"/>
      <c r="H50" s="3"/>
    </row>
    <row r="51" spans="2:8" ht="15" customHeight="1" x14ac:dyDescent="0.3">
      <c r="B51" s="3"/>
      <c r="C51" s="4"/>
      <c r="D51" s="4"/>
      <c r="E51" s="4"/>
      <c r="F51" s="12"/>
      <c r="G51" s="3"/>
      <c r="H51" s="3"/>
    </row>
    <row r="52" spans="2:8" ht="15" customHeight="1" x14ac:dyDescent="0.3">
      <c r="B52" s="3"/>
      <c r="C52" s="4"/>
      <c r="D52" s="4"/>
      <c r="E52" s="28"/>
      <c r="F52" s="28"/>
      <c r="G52" s="4"/>
      <c r="H52" s="4"/>
    </row>
    <row r="53" spans="2:8" ht="15" customHeight="1" x14ac:dyDescent="0.3">
      <c r="B53" s="3"/>
      <c r="C53" s="3"/>
      <c r="D53" s="4"/>
      <c r="E53" s="28"/>
      <c r="F53" s="28"/>
      <c r="G53" s="4"/>
      <c r="H53" s="4"/>
    </row>
    <row r="54" spans="2:8" ht="15" customHeight="1" x14ac:dyDescent="0.3">
      <c r="B54" s="3"/>
      <c r="C54" s="4"/>
      <c r="D54" s="4"/>
      <c r="E54" s="28"/>
      <c r="F54" s="28"/>
      <c r="G54" s="4"/>
      <c r="H54" s="4"/>
    </row>
    <row r="55" spans="2:8" ht="15" customHeight="1" x14ac:dyDescent="0.3">
      <c r="B55" s="12"/>
      <c r="C55" s="12"/>
      <c r="D55" s="12"/>
      <c r="E55" s="28"/>
      <c r="F55" s="28"/>
      <c r="G55" s="28"/>
      <c r="H55" s="28"/>
    </row>
    <row r="56" spans="2:8" ht="15" customHeight="1" x14ac:dyDescent="0.3">
      <c r="B56" s="12"/>
      <c r="C56" s="27"/>
      <c r="D56" s="27"/>
      <c r="E56" s="27"/>
      <c r="F56" s="27"/>
      <c r="G56" s="27"/>
      <c r="H56" s="27"/>
    </row>
    <row r="57" spans="2:8" ht="15" customHeight="1" x14ac:dyDescent="0.3">
      <c r="B57"/>
      <c r="C57"/>
      <c r="D57"/>
      <c r="E57"/>
      <c r="F57"/>
      <c r="G57"/>
      <c r="H57"/>
    </row>
    <row r="58" spans="2:8" ht="15" customHeight="1" x14ac:dyDescent="0.3">
      <c r="B58"/>
      <c r="C58"/>
      <c r="D58"/>
      <c r="E58"/>
      <c r="F58"/>
      <c r="G58"/>
      <c r="H58"/>
    </row>
    <row r="59" spans="2:8" ht="15" customHeight="1" x14ac:dyDescent="0.3">
      <c r="B59"/>
      <c r="C59"/>
      <c r="D59"/>
      <c r="E59"/>
      <c r="F59"/>
      <c r="G59"/>
      <c r="H59"/>
    </row>
    <row r="60" spans="2:8" ht="15" customHeight="1" x14ac:dyDescent="0.3">
      <c r="B60"/>
      <c r="C60"/>
      <c r="D60"/>
      <c r="E60"/>
      <c r="F60"/>
      <c r="G60"/>
      <c r="H60"/>
    </row>
    <row r="61" spans="2:8" ht="15" customHeight="1" x14ac:dyDescent="0.3">
      <c r="B61"/>
      <c r="C61"/>
      <c r="D61"/>
      <c r="E61"/>
      <c r="F61"/>
      <c r="G61"/>
      <c r="H61"/>
    </row>
    <row r="62" spans="2:8" ht="15" customHeight="1" x14ac:dyDescent="0.3">
      <c r="B62"/>
      <c r="C62"/>
      <c r="D62"/>
      <c r="E62"/>
      <c r="F62"/>
      <c r="G62"/>
      <c r="H62"/>
    </row>
    <row r="63" spans="2:8" ht="15" customHeight="1" x14ac:dyDescent="0.3">
      <c r="B63"/>
      <c r="C63"/>
      <c r="D63"/>
      <c r="E63"/>
      <c r="F63"/>
      <c r="G63"/>
      <c r="H63"/>
    </row>
    <row r="64" spans="2:8" ht="15" customHeight="1" x14ac:dyDescent="0.3">
      <c r="B64"/>
      <c r="C64"/>
      <c r="D64"/>
      <c r="E64"/>
      <c r="F64"/>
      <c r="G64"/>
      <c r="H64"/>
    </row>
    <row r="65" spans="2:8" ht="15" customHeight="1" x14ac:dyDescent="0.3">
      <c r="B65"/>
      <c r="C65"/>
      <c r="D65"/>
      <c r="E65"/>
      <c r="F65"/>
      <c r="G65"/>
      <c r="H65"/>
    </row>
    <row r="66" spans="2:8" ht="15" customHeight="1" x14ac:dyDescent="0.3">
      <c r="B66"/>
      <c r="C66"/>
      <c r="D66"/>
      <c r="E66"/>
      <c r="F66"/>
      <c r="G66"/>
      <c r="H66"/>
    </row>
    <row r="67" spans="2:8" ht="15" customHeight="1" x14ac:dyDescent="0.3">
      <c r="B67"/>
      <c r="C67"/>
      <c r="D67"/>
      <c r="E67"/>
      <c r="F67"/>
      <c r="G67"/>
      <c r="H67"/>
    </row>
    <row r="68" spans="2:8" ht="15" customHeight="1" x14ac:dyDescent="0.3">
      <c r="B68"/>
      <c r="C68"/>
      <c r="D68"/>
      <c r="E68"/>
      <c r="F68"/>
      <c r="G68"/>
      <c r="H68"/>
    </row>
    <row r="69" spans="2:8" ht="15" customHeight="1" x14ac:dyDescent="0.3">
      <c r="B69"/>
      <c r="C69"/>
      <c r="D69"/>
      <c r="E69"/>
      <c r="F69"/>
      <c r="G69"/>
      <c r="H69"/>
    </row>
    <row r="70" spans="2:8" ht="15" customHeight="1" x14ac:dyDescent="0.3">
      <c r="B70"/>
      <c r="C70"/>
      <c r="D70"/>
      <c r="E70"/>
      <c r="F70"/>
      <c r="G70"/>
      <c r="H70"/>
    </row>
    <row r="71" spans="2:8" ht="15" customHeight="1" x14ac:dyDescent="0.3">
      <c r="B71"/>
      <c r="C71"/>
      <c r="D71"/>
      <c r="E71"/>
      <c r="F71"/>
      <c r="G71"/>
      <c r="H71"/>
    </row>
    <row r="72" spans="2:8" ht="15" customHeight="1" x14ac:dyDescent="0.3">
      <c r="B72"/>
      <c r="C72"/>
      <c r="D72"/>
      <c r="E72"/>
      <c r="F72"/>
      <c r="G72"/>
      <c r="H72"/>
    </row>
    <row r="73" spans="2:8" ht="15" customHeight="1" x14ac:dyDescent="0.3">
      <c r="B73"/>
      <c r="C73"/>
      <c r="D73"/>
      <c r="E73"/>
      <c r="F73"/>
      <c r="G73"/>
      <c r="H73"/>
    </row>
    <row r="74" spans="2:8" ht="15" customHeight="1" x14ac:dyDescent="0.3">
      <c r="B74"/>
      <c r="C74"/>
      <c r="D74"/>
      <c r="E74"/>
      <c r="F74"/>
      <c r="G74"/>
      <c r="H74"/>
    </row>
    <row r="75" spans="2:8" ht="15" customHeight="1" x14ac:dyDescent="0.3">
      <c r="B75"/>
      <c r="C75"/>
      <c r="D75"/>
      <c r="E75"/>
      <c r="F75"/>
      <c r="G75"/>
      <c r="H75"/>
    </row>
  </sheetData>
  <sheetProtection sheet="1" scenarios="1" selectLockedCells="1"/>
  <mergeCells count="4">
    <mergeCell ref="E6:F6"/>
    <mergeCell ref="G6:H6"/>
    <mergeCell ref="B2:H2"/>
    <mergeCell ref="K2:Q2"/>
  </mergeCells>
  <pageMargins left="0.7" right="0.7" top="0.7" bottom="0.7" header="0.3" footer="0.3"/>
  <pageSetup orientation="portrait" r:id="rId1"/>
  <headerFooter>
    <oddHeader>&amp;LArelational and Relational Intervals with Excel (ARISE)&amp;RDesign: Single Factor, Between-Subjects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Intro</vt:lpstr>
      <vt:lpstr>Data</vt:lpstr>
      <vt:lpstr>Analyses</vt:lpstr>
    </vt:vector>
  </TitlesOfParts>
  <Manager>Department of Psychology</Manager>
  <Company>University of Wisconsin - Stevens Point</Company>
  <LinksUpToDate>false</LinksUpToDate>
  <SharedDoc>false</SharedDoc>
  <HyperlinkBase>https://github.com/cwendorf/BASE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ARISE(D) - One Way</dc:title>
  <dc:subject>Statistics</dc:subject>
  <dc:creator>Craig A. Wendorf</dc:creator>
  <cp:keywords>confidence intervals, hypothesis tests</cp:keywords>
  <cp:lastModifiedBy>Wendorf, Craig</cp:lastModifiedBy>
  <cp:lastPrinted>2017-08-22T13:23:59Z</cp:lastPrinted>
  <dcterms:created xsi:type="dcterms:W3CDTF">2010-01-13T12:26:09Z</dcterms:created>
  <dcterms:modified xsi:type="dcterms:W3CDTF">2025-01-05T15:23:08Z</dcterms:modified>
</cp:coreProperties>
</file>